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5135" windowHeight="6345" activeTab="0"/>
  </bookViews>
  <sheets>
    <sheet name="Բյուջե-ամփոփ" sheetId="1" r:id="rId1"/>
  </sheets>
  <externalReferences>
    <externalReference r:id="rId4"/>
  </externalReferences>
  <definedNames>
    <definedName name="_xlnm.Print_Area" localSheetId="0">'Բյուջե-ամփոփ'!$A$1:$Q$82</definedName>
  </definedNames>
  <calcPr fullCalcOnLoad="1"/>
</workbook>
</file>

<file path=xl/sharedStrings.xml><?xml version="1.0" encoding="utf-8"?>
<sst xmlns="http://schemas.openxmlformats.org/spreadsheetml/2006/main" count="158" uniqueCount="133">
  <si>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</si>
  <si>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</si>
  <si>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</si>
  <si>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</si>
  <si>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</si>
  <si>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</si>
  <si>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</si>
  <si>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</si>
  <si>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</si>
  <si>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</si>
  <si>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</si>
  <si>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</si>
  <si>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</si>
  <si>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</si>
  <si>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</si>
  <si>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</si>
  <si>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</si>
  <si>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</si>
  <si>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</si>
  <si>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</si>
  <si>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</si>
  <si>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</si>
  <si>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</si>
  <si>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</si>
  <si>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</si>
  <si>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</si>
  <si>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</si>
  <si>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</si>
  <si>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</si>
  <si>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</si>
  <si>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</si>
  <si>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</si>
  <si>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</si>
  <si>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</si>
  <si>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</si>
  <si>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</si>
  <si>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</si>
  <si>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</si>
  <si>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</si>
  <si>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</si>
  <si>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</si>
  <si>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</si>
  <si>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</si>
  <si>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</si>
  <si>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</si>
  <si>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</si>
  <si>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</si>
  <si>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</si>
  <si>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</si>
  <si>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28</t>
  </si>
  <si>
    <t xml:space="preserve"> ԱՄՆ կառավարության աջակցությամբ իրականացվող ՙՀազարամյակի մարտահրավեր՚ դրամաշնորհային ծրագիր </t>
  </si>
  <si>
    <t>Եվրոպական հարևանության շրջանակներում ՀՀ-ԵՄ գործողությունների ծրագրով նախատեսված միջոցառումների ֆինանսավորման համար ստացված դրամաշնորհ (2009թ ազգային գործողությունների ծրագիր` «Մասնագիտական կրթության և ուսուցման (ՄԿՈՒ) բարեփոխման շարունակություն և զբաղվածության հայեցակարգի մշակում»)</t>
  </si>
  <si>
    <t xml:space="preserve"> Համաշխարհային բանկի աջակցությամբ իրականացվող երիտասարդների ներգրավվածության խթանման դրամաշնորհային ծրագիր</t>
  </si>
  <si>
    <t xml:space="preserve"> Համաշխարհային բանկի աջակցությամբ իրականացվող Գլոբալ էկոլոգիական հիմնադրամի  կողմից տրամադրված Համայնքների գյուղատնտեսական ռեսուրսների կառավարման և մրցունակության ծրագիր դրամաշնորհային ծրագիր</t>
  </si>
  <si>
    <t xml:space="preserve"> Եվրոպական ներդրումային բանկի աջակցությամբ իրականացվող Հյուսիս-հարավ տրանսպորտային միջանցքի դրամաշնորհային ծրագիր (Տրանշ 3)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</si>
  <si>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</si>
  <si>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</si>
  <si>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հազ. դրամ</t>
  </si>
  <si>
    <t>Դանիայի թագավորության աջակցությամբ իրականացվող  գյուղական կարողությունների ստեղծում /1/  դրամաշնորհային ծրագիր</t>
  </si>
  <si>
    <t>31</t>
  </si>
  <si>
    <t>32</t>
  </si>
  <si>
    <t>33</t>
  </si>
  <si>
    <t>34</t>
  </si>
  <si>
    <t>36</t>
  </si>
  <si>
    <t>30</t>
  </si>
  <si>
    <t>38</t>
  </si>
  <si>
    <t>39</t>
  </si>
  <si>
    <t>43</t>
  </si>
  <si>
    <t>Ընդամենը կապակցված տրանսֆերտները և արտաբյուջետային տրանսֆերտները միասին</t>
  </si>
  <si>
    <t xml:space="preserve"> Վերակառուցման և զարգացման եվրոպական բանկի աջակցությամբ իրականացվող Երևանի ջրամատակարարման բարելավման դրամաշնորհային ծրագիր (Երևանի համայնքի ղեկավարին պետության կողմից պատվիրակված լիազորություն)</t>
  </si>
  <si>
    <t>Համաշխարհային բանկի աջակցությամբ իրականացվող Երկրաջերմային հետախուզական հորատման դրամաշնորհային ծրագիր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</si>
  <si>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</si>
  <si>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</si>
  <si>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Հայաստան ժողովրդագրության և առողջության հարցերի հետազոտություն ԱՄՆ-ի միջազգային զարգացման գործակալություն</t>
  </si>
  <si>
    <t xml:space="preserve"> Եվրոմիության կողմից «Աջակցություն Հայաստանի Հանրապետության Կառավարությանը՝ ուղղված ԵՀՔ գործողությունների ծրագրի իրականացմանը և ապագա Ասոցիացման համաձայնագրի գծով նախապատրաստական աշխատանքներին փուլ 2» ֆինանսավորման համաձայնագրի» թիվ 1 լրացում</t>
  </si>
  <si>
    <t>«Աջակցություն գյուղատնտեսության և գյուղի զարգացմանը - Հայաստանի Հանրապետությունում Գյուղատնտեսության և գյուղի զարգացման եվրոպական հարևանության ծրագիր»</t>
  </si>
  <si>
    <t>Եվրոմիության կողմից «Աջակցություն Հայաստանում մարդու իրավուքների պաշտպանությանը» ԵՄ բյուջետային աջակցության ծրագրի Ֆինանսավորման համաձայնագրի նախագծի վերաբերյալ</t>
  </si>
  <si>
    <t>Համաշխարհային բանկի աջակցությամբ իրականացվող Տեղական տնտեսության  ենթակառուցվածքի զարգացման դրամաշնորհային ծրագիր</t>
  </si>
  <si>
    <t xml:space="preserve"> Եվրոպական միության աջակցությամբ իրականացվող Հայաստանի տարածքային զարգացման դրամաշնորհային ծրագիր</t>
  </si>
  <si>
    <t xml:space="preserve">Գերմանիայի զարգացման և Եվրոպական միության հարևանության ներդրումային բանկի աջակցությամբ իրականացվող &lt;&lt;Հայջրմուղկոյուղի&gt;&gt; ՓԲԸ-ի ջրամատակարարման և ջրահեռացման ենթակառուցվածքների վերականգնման դրամաշնորհային ծրագրի երրորդ փուլ </t>
  </si>
  <si>
    <t>Գերմանիայի զարգացման և Եվրոպական միության հարևանության ներդրումային բանկի աջակցությամբ իրականացվող &lt;&lt;Նոր Ակունք&gt;&gt; ՓԲԸ-ի ջրամատակարարման և ջրահեռացման ենթակառուցվածքների վերականգնման դրամաշնորհային ծրագրի երրորդ փուլ</t>
  </si>
  <si>
    <t>Վերակառուցման և զարգացման եվրոպական բանկի աջակցությամբ իրականացվող Հայաստանի ջրային ոլորտի ներդրումային ծրագրի անցումային խորհրդատուի ընտրության դրամաշնորհային ծրագիր</t>
  </si>
  <si>
    <t xml:space="preserve"> ԱՄՆ Հիվանդությունների կանխարգելման և վերահսկման կենտրոնի աջակցությամբ իրականացվող Սեզոնային գրիպի համաճարակաբանական ցանցի հիմնման և արձագանքման դրամաշնորհային ծրագիր</t>
  </si>
  <si>
    <t>Համաշխարհային բանկի աջակցությամբ իրականացվող«Հիվանդությունների կանխարգելման և վերահսկման ծրագրի շրջանակներում  Առողջապահության կատարողականի վրա հիմնված ֆինանսավորման ծրագրի նախապատրաստման համար» դրամաշնորհային ծրագիր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</si>
  <si>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</si>
  <si>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</si>
  <si>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«Հայաստանի Հանրապետության տարածքային կառավարման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</si>
  <si>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40</t>
  </si>
  <si>
    <t>42</t>
  </si>
  <si>
    <t>Ընդամենը արտաբյուջետային տրանսֆերտներ, այդ թվում`</t>
  </si>
  <si>
    <t>Դանիական թագավորության աջակցությամբ իրականացվող Գյուղական կարողությունների ստեղծում դրամաշնորհային ծրագիր</t>
  </si>
  <si>
    <t xml:space="preserve">Գերմանիայի զարգացման վարկերի բանկի աջակցությամբ իրականացվող &lt;&lt;Հայջրմուղկոյուղի&gt;&gt;, &lt;&lt;Շիրակ-ջրմուղկոյուղի&gt;&gt;, &lt;&lt;Լոռի-ջրմուղկոյուղի&gt;&gt; և &lt;&lt;Նոր ակունք&gt;&gt; ՓԲԸ-ների մասնավոր կառավարման շարունակականության ապահովման դրամաշնորհային ծրագիր </t>
  </si>
  <si>
    <t>41</t>
  </si>
  <si>
    <t>Լոռու  մարզի ջրամատակարարման և ջրահեռացման համակարգերի վերականգնման դրամաշնորհայինծրագիր</t>
  </si>
  <si>
    <t xml:space="preserve"> ՀՀ տարածքային կառավարման և արտակարգ իրավիճակների նախարարության միգրացիոն պետական ծառայութան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</si>
  <si>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*Համաշխարհային բանկի աջակցությամբ իրականցվող Փաստաբանների դպրոցի վերապատրաստման կարողությունների զարգացման դրամաշնորհային ծրագիր</t>
  </si>
  <si>
    <t>Հայաստանում տուբերկուլյոզի դեմ պայքարի, մոր և մանկան առողջության և ընտանիքի պլանավորման  դրամաշնորհային ծրագիր</t>
  </si>
  <si>
    <t xml:space="preserve"> «Հանքարդյունաբերության ոլորտի թափանցիկության բարելավում» դրամաշնորհային ծրագիր</t>
  </si>
  <si>
    <t xml:space="preserve"> «Սոցիալական ոլորտի բարեփոխումների» դրամաշնորհային ծրագիր</t>
  </si>
  <si>
    <t>* ՀՀ կառավարության  25.02.16 թիվ 164-Ն որոշում</t>
  </si>
  <si>
    <t>35</t>
  </si>
  <si>
    <t>37</t>
  </si>
  <si>
    <t>Եվրոմիության կողմից «Աջակցություն Հայաստանում արդարադատության բարեփոխումներինդատական բարեփոխումներին – Փուլ II» 2012թ. Ֆինանսական համաձայնագրի նախագծի վերաբերյալ</t>
  </si>
  <si>
    <t xml:space="preserve"> **«Օժանդակություն Հայաստանի հակակոռուպցիոն ռազմավարության իրականացմանը» դրամաշնորհային ծրագիր</t>
  </si>
  <si>
    <t>*** ՀՀ կառավարության 24.03.16 թիվ 301-Ն որոշում</t>
  </si>
  <si>
    <t xml:space="preserve">2016թ  </t>
  </si>
  <si>
    <t>1 ԱՄՆ դոլար / 473.4 ՀՀ դրամ</t>
  </si>
  <si>
    <t>1 եվրո / 520.83 ՀՀ դրամ</t>
  </si>
  <si>
    <t xml:space="preserve">* ՌԴ-ի կառավարության աջակցությամբ իրականացվող ԵՏՄ-ի անդամակցության շրջանակներում ՀՀ-ին տեխնիկական և ֆինանսական աջակցություն ցուցաբերելու դրամաշնորհային ծրագիր </t>
  </si>
  <si>
    <t>44</t>
  </si>
  <si>
    <t>45</t>
  </si>
  <si>
    <t>46</t>
  </si>
  <si>
    <t>** ՀՀ կառավարության  17.03.16 թիվ 255-Ն որոշում</t>
  </si>
  <si>
    <t>2016 թվականի պետական բյուջեով նախատեսված Հայաստանի Հանրապետությանը տրամադրված դրամաշնորհների վերաբերյալ 31.12.2016թ. դրությամբ</t>
  </si>
  <si>
    <t>(8*) Հայաստանի Հանրապետության աշխատանքի և սոցիալական հարցերի նախարարության «Երևանի թիվ 1 տուն-ինտերնատ» պետական ոչ առևտրային կազմակերպության տարածքում անկողնային խնամք ստացող անձանց սպասարկման նպատակով կառուցվելիք նոր մասնաշենքի շինարարական աշխատանքների իրականացում» դրամաշնորհային ծրագիր</t>
  </si>
  <si>
    <t xml:space="preserve">(7*) Վերակառուցման և զարգացման եվրոպական բանկի աջակցությամբ իրականացվող Երևանի կոշտ թափոնների կառավարման  դրամաշնորհային ծրագիր </t>
  </si>
  <si>
    <t xml:space="preserve">(7*) Վերակառուցման և զարգացման եվրոպական բանկի աջակցությամբ իրականացվող Երևանի քաղաքային լուսավորության դրամաշնորհային ծրագիր </t>
  </si>
  <si>
    <t>(6*) Վերակառուցման և զարգացման եվրոպական բանկի աջակցությամբ իրականացվող ՀՀ պետական սահմանի Բագրատաշեն անցման կետի կամրջի վերակառռւցման ծրագրի շրջանակներում խորհրդատվական ծառայությունների ձեռքբերման դրամաշնորհային ծրագիր</t>
  </si>
  <si>
    <t>(5*) ՄԱԿ-ի ՇՄ ծրագրի և Դանիայի տեխնիկական համալսարանի համագործակցության կենտրոնի աջակցությամբ իրականացվող «Տեխնոլոգիաների կարիքների գնահատում» դրամաշնորհային ծրագիր</t>
  </si>
  <si>
    <t>(4*) Գլոբալ էկոլոգիական հիմնադրամի աջակցությամբ իրականացվող «Հայաստանի Հանրապետությունում ազգային պորտֆելի ձևավորման վարժություն» դրամաշնորհային ծրագիր</t>
  </si>
  <si>
    <t>(4*) Համաշխարհային բանկի աջակցությամբ իրականացվող օժանդակության ինստիտուցիոնալ կարողությունների զարգացմանը` հանքաարդյունաբերության ոլորտում բնապահպանական կառավարումը, ներառումը և թափանցիկությունն ապահովելու նպատակով ԻԶՀ-ի դրամաշնորհային ծրագիր</t>
  </si>
  <si>
    <t>(5*)  ԻԻՀ-ի աջակցությամբ իրականացվող ՀՀ-ում Իրանի հետ սահմանամերձ բնակավայրերի գազի բաշխման ցանցի կառուցման դրամաշնորհային ծրագիր</t>
  </si>
  <si>
    <t xml:space="preserve"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t>
  </si>
  <si>
    <t>(9*)*** Էլեկտրոնային մոնիթորինգի սարքավորումների փորձարկում քրեակատարողական հիմնարկների պիլոտային ստորաբաժանումներում դրամաշնորհային ծրագիր</t>
  </si>
  <si>
    <t>(9*) ԱՄՆ Միջազգային զարգացման գործակալության աջակցությամբ իրականացվող Տեղական ինքնակառավարման բարեփոխումների դրամաշնորհային ծրագրի</t>
  </si>
  <si>
    <t xml:space="preserve"> Ջրամատակարար ընկերությունների կողմից չսպասարկվող համայնքների ջրամատակարարման և ջրահեռացման համակարգի բարելավմանն ու զարգացմանն ուղղված կիրառելիության ուսումնասիրություն</t>
  </si>
  <si>
    <t>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</si>
  <si>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 xml:space="preserve"> Շիրակի մարզի ջրամատակարարման և ջրահեռացման համակարգերի վերականգնման դրամաշնորհայինծրագիր</t>
  </si>
  <si>
    <t>4* ՀՀ կառավարության 31.03.16 թիվ 313-Ն որոշում</t>
  </si>
  <si>
    <t>5* ՀՀ կառավարության 19.05.16 թիվ 503-Ն որոշում</t>
  </si>
  <si>
    <t>6*ՀՀ կառավարության 09.06.16 թիվ 596-Ն որոշում</t>
  </si>
  <si>
    <t>7*ՀՀ կառավարության 21.07.16 թիվ 754-Ն որոշում</t>
  </si>
  <si>
    <t>8* ՀՀ կառավարության 29.09.16 թիվ 985-Ն որոշում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</si>
</sst>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</numFmts>
  <fonts count="44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7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183" fontId="3" fillId="33" borderId="10" xfId="57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/>
      <protection/>
    </xf>
    <xf numFmtId="183" fontId="3" fillId="33" borderId="11" xfId="57" applyNumberFormat="1" applyFont="1" applyFill="1" applyBorder="1" applyAlignment="1">
      <alignment vertical="center"/>
      <protection/>
    </xf>
    <xf numFmtId="0" fontId="7" fillId="33" borderId="0" xfId="0" applyFont="1" applyFill="1" applyBorder="1" applyAlignment="1">
      <alignment/>
    </xf>
    <xf numFmtId="0" fontId="2" fillId="33" borderId="0" xfId="56" applyFont="1" applyFill="1" applyBorder="1" applyAlignment="1">
      <alignment vertical="center"/>
      <protection/>
    </xf>
    <xf numFmtId="43" fontId="2" fillId="33" borderId="0" xfId="0" applyNumberFormat="1" applyFont="1" applyFill="1" applyBorder="1" applyAlignment="1">
      <alignment vertical="center"/>
    </xf>
    <xf numFmtId="172" fontId="2" fillId="33" borderId="0" xfId="57" applyNumberFormat="1" applyFont="1" applyFill="1" applyBorder="1" applyAlignment="1">
      <alignment vertical="center"/>
      <protection/>
    </xf>
    <xf numFmtId="172" fontId="2" fillId="33" borderId="0" xfId="42" applyNumberFormat="1" applyFont="1" applyFill="1" applyBorder="1" applyAlignment="1">
      <alignment vertical="center"/>
    </xf>
    <xf numFmtId="174" fontId="2" fillId="33" borderId="0" xfId="42" applyNumberFormat="1" applyFont="1" applyFill="1" applyBorder="1" applyAlignment="1">
      <alignment horizontal="center" vertical="center"/>
    </xf>
    <xf numFmtId="0" fontId="2" fillId="33" borderId="0" xfId="57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49" fontId="2" fillId="33" borderId="12" xfId="1" applyNumberFormat="1" applyFont="1" applyFill="1" applyBorder="1" applyAlignment="1">
      <alignment horizontal="center" vertical="center" wrapText="1"/>
    </xf>
    <xf numFmtId="49" fontId="2" fillId="33" borderId="10" xfId="1" applyNumberFormat="1" applyFont="1" applyFill="1" applyBorder="1" applyAlignment="1">
      <alignment horizontal="left" vertical="center" wrapText="1"/>
    </xf>
    <xf numFmtId="183" fontId="2" fillId="33" borderId="10" xfId="42" applyNumberFormat="1" applyFont="1" applyFill="1" applyBorder="1" applyAlignment="1">
      <alignment horizontal="center" vertical="center"/>
    </xf>
    <xf numFmtId="183" fontId="2" fillId="33" borderId="10" xfId="57" applyNumberFormat="1" applyFont="1" applyFill="1" applyBorder="1" applyAlignment="1">
      <alignment horizontal="center" vertical="center"/>
      <protection/>
    </xf>
    <xf numFmtId="183" fontId="2" fillId="33" borderId="10" xfId="0" applyNumberFormat="1" applyFont="1" applyFill="1" applyBorder="1" applyAlignment="1">
      <alignment/>
    </xf>
    <xf numFmtId="183" fontId="2" fillId="33" borderId="10" xfId="57" applyNumberFormat="1" applyFont="1" applyFill="1" applyBorder="1" applyAlignment="1">
      <alignment horizontal="right" vertical="center"/>
      <protection/>
    </xf>
    <xf numFmtId="183" fontId="2" fillId="33" borderId="11" xfId="42" applyNumberFormat="1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left" vertical="center" wrapText="1"/>
      <protection/>
    </xf>
    <xf numFmtId="183" fontId="2" fillId="33" borderId="10" xfId="57" applyNumberFormat="1" applyFont="1" applyFill="1" applyBorder="1" applyAlignment="1">
      <alignment vertical="center"/>
      <protection/>
    </xf>
    <xf numFmtId="183" fontId="2" fillId="33" borderId="10" xfId="42" applyNumberFormat="1" applyFont="1" applyFill="1" applyBorder="1" applyAlignment="1">
      <alignment vertical="center"/>
    </xf>
    <xf numFmtId="172" fontId="2" fillId="33" borderId="10" xfId="1" applyNumberFormat="1" applyFont="1" applyFill="1" applyBorder="1" applyAlignment="1">
      <alignment horizontal="left" vertical="center" wrapText="1"/>
    </xf>
    <xf numFmtId="174" fontId="4" fillId="33" borderId="0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 horizontal="center" vertical="center" wrapText="1"/>
    </xf>
    <xf numFmtId="183" fontId="2" fillId="33" borderId="11" xfId="57" applyNumberFormat="1" applyFont="1" applyFill="1" applyBorder="1" applyAlignment="1">
      <alignment vertical="center"/>
      <protection/>
    </xf>
    <xf numFmtId="49" fontId="2" fillId="33" borderId="13" xfId="1" applyNumberFormat="1" applyFont="1" applyFill="1" applyBorder="1" applyAlignment="1">
      <alignment horizontal="center" vertical="center" wrapText="1"/>
    </xf>
    <xf numFmtId="0" fontId="2" fillId="33" borderId="14" xfId="55" applyFont="1" applyFill="1" applyBorder="1" applyAlignment="1">
      <alignment horizontal="left" vertical="center" wrapText="1"/>
      <protection/>
    </xf>
    <xf numFmtId="183" fontId="2" fillId="33" borderId="14" xfId="57" applyNumberFormat="1" applyFont="1" applyFill="1" applyBorder="1" applyAlignment="1">
      <alignment vertical="center"/>
      <protection/>
    </xf>
    <xf numFmtId="183" fontId="2" fillId="33" borderId="14" xfId="42" applyNumberFormat="1" applyFont="1" applyFill="1" applyBorder="1" applyAlignment="1">
      <alignment vertical="center"/>
    </xf>
    <xf numFmtId="183" fontId="2" fillId="33" borderId="14" xfId="42" applyNumberFormat="1" applyFont="1" applyFill="1" applyBorder="1" applyAlignment="1">
      <alignment horizontal="center" vertical="center"/>
    </xf>
    <xf numFmtId="183" fontId="2" fillId="33" borderId="15" xfId="42" applyNumberFormat="1" applyFont="1" applyFill="1" applyBorder="1" applyAlignment="1">
      <alignment horizontal="center" vertical="center"/>
    </xf>
    <xf numFmtId="183" fontId="3" fillId="33" borderId="10" xfId="57" applyNumberFormat="1" applyFont="1" applyFill="1" applyBorder="1" applyAlignment="1">
      <alignment horizontal="center" vertical="center"/>
      <protection/>
    </xf>
    <xf numFmtId="183" fontId="3" fillId="33" borderId="11" xfId="57" applyNumberFormat="1" applyFont="1" applyFill="1" applyBorder="1" applyAlignment="1">
      <alignment horizontal="center" vertical="center"/>
      <protection/>
    </xf>
    <xf numFmtId="183" fontId="4" fillId="33" borderId="0" xfId="0" applyNumberFormat="1" applyFont="1" applyFill="1" applyBorder="1" applyAlignment="1">
      <alignment/>
    </xf>
    <xf numFmtId="183" fontId="2" fillId="33" borderId="16" xfId="42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3" fontId="4" fillId="33" borderId="0" xfId="42" applyFont="1" applyFill="1" applyBorder="1" applyAlignment="1">
      <alignment/>
    </xf>
    <xf numFmtId="49" fontId="2" fillId="33" borderId="17" xfId="1" applyNumberFormat="1" applyFont="1" applyFill="1" applyBorder="1" applyAlignment="1">
      <alignment horizontal="center" vertical="center" wrapText="1"/>
    </xf>
    <xf numFmtId="0" fontId="2" fillId="33" borderId="18" xfId="55" applyFont="1" applyFill="1" applyBorder="1" applyAlignment="1">
      <alignment horizontal="left" vertical="center" wrapText="1"/>
      <protection/>
    </xf>
    <xf numFmtId="183" fontId="2" fillId="33" borderId="18" xfId="42" applyNumberFormat="1" applyFont="1" applyFill="1" applyBorder="1" applyAlignment="1">
      <alignment vertical="center"/>
    </xf>
    <xf numFmtId="183" fontId="2" fillId="33" borderId="18" xfId="42" applyNumberFormat="1" applyFont="1" applyFill="1" applyBorder="1" applyAlignment="1">
      <alignment horizontal="center" vertical="center"/>
    </xf>
    <xf numFmtId="183" fontId="2" fillId="33" borderId="18" xfId="57" applyNumberFormat="1" applyFont="1" applyFill="1" applyBorder="1" applyAlignment="1">
      <alignment vertical="center"/>
      <protection/>
    </xf>
    <xf numFmtId="183" fontId="2" fillId="33" borderId="19" xfId="42" applyNumberFormat="1" applyFont="1" applyFill="1" applyBorder="1" applyAlignment="1">
      <alignment horizontal="center" vertical="center"/>
    </xf>
    <xf numFmtId="43" fontId="4" fillId="33" borderId="0" xfId="42" applyFont="1" applyFill="1" applyBorder="1" applyAlignment="1">
      <alignment vertical="center"/>
    </xf>
    <xf numFmtId="43" fontId="4" fillId="33" borderId="0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21" xfId="42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3" fillId="33" borderId="22" xfId="42" applyNumberFormat="1" applyFont="1" applyFill="1" applyBorder="1" applyAlignment="1">
      <alignment horizontal="center" vertical="center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Harutyunyan\Desktop\Dramashnorh-2016\Copy%20of%20Grant-2016-4%20april%201-in%20er.%20past%2008.04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 5 ax 14 bb-ic naxn"/>
      <sheetName val="ashxatanqajin  Grant"/>
      <sheetName val="def"/>
      <sheetName val="Arayik"/>
      <sheetName val="Artab-2016"/>
      <sheetName val="Voroshumner"/>
      <sheetName val="artab 2015 i hamar  hin"/>
    </sheetNames>
    <sheetDataSet>
      <sheetData sheetId="4">
        <row r="103">
          <cell r="R103">
            <v>198187.9</v>
          </cell>
          <cell r="AA103">
            <v>265563.1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="70" zoomScaleNormal="70" zoomScalePageLayoutView="0" workbookViewId="0" topLeftCell="D2">
      <pane ySplit="7" topLeftCell="A9" activePane="bottomLeft" state="frozen"/>
      <selection pane="topLeft" activeCell="B2" sqref="B2"/>
      <selection pane="bottomLeft" activeCell="B3" sqref="B3"/>
    </sheetView>
  </sheetViews>
  <sheetFormatPr defaultColWidth="9.140625" defaultRowHeight="12.75"/>
  <cols>
    <col min="1" max="1" width="5.8515625" style="1" customWidth="1"/>
    <col min="2" max="2" width="133.7109375" style="10" customWidth="1"/>
    <col min="3" max="3" width="23.8515625" style="10" customWidth="1"/>
    <col min="4" max="4" width="24.421875" style="10" bestFit="1" customWidth="1"/>
    <col min="5" max="5" width="23.8515625" style="10" customWidth="1"/>
    <col min="6" max="6" width="22.00390625" style="1" customWidth="1"/>
    <col min="7" max="7" width="22.57421875" style="1" customWidth="1"/>
    <col min="8" max="8" width="21.140625" style="1" bestFit="1" customWidth="1"/>
    <col min="9" max="9" width="22.00390625" style="1" customWidth="1"/>
    <col min="10" max="10" width="27.8515625" style="1" customWidth="1"/>
    <col min="11" max="11" width="21.7109375" style="1" customWidth="1"/>
    <col min="12" max="12" width="23.7109375" style="1" customWidth="1"/>
    <col min="13" max="13" width="21.8515625" style="1" customWidth="1"/>
    <col min="14" max="14" width="23.7109375" style="1" customWidth="1"/>
    <col min="15" max="15" width="22.421875" style="1" bestFit="1" customWidth="1"/>
    <col min="16" max="16" width="22.28125" style="1" bestFit="1" customWidth="1"/>
    <col min="17" max="17" width="21.8515625" style="1" customWidth="1"/>
    <col min="18" max="18" width="20.00390625" style="1" hidden="1" customWidth="1"/>
    <col min="19" max="19" width="19.57421875" style="1" customWidth="1"/>
    <col min="20" max="16384" width="9.140625" style="1" customWidth="1"/>
  </cols>
  <sheetData>
    <row r="1" spans="1:17" ht="20.25">
      <c r="A1" s="3" t="s">
        <v>0</v>
      </c>
      <c r="B1" s="62" t="s">
        <v>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1"/>
      <c r="Q1" s="14"/>
    </row>
    <row r="2" spans="1:17" ht="20.25">
      <c r="A2" s="3"/>
      <c r="B2" s="62" t="s">
        <v>113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1"/>
      <c r="Q2" s="14"/>
    </row>
    <row r="3" spans="1:17" ht="20.25">
      <c r="A3" s="3"/>
      <c r="B3" s="51"/>
      <c r="C3" s="51"/>
      <c r="D3" s="4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4"/>
    </row>
    <row r="4" spans="1:17" ht="21" thickBot="1">
      <c r="A4" s="3"/>
      <c r="B4" s="3"/>
      <c r="C4" s="51"/>
      <c r="D4" s="19"/>
      <c r="E4" s="5"/>
      <c r="F4" s="6"/>
      <c r="G4" s="6" t="s">
        <v>0</v>
      </c>
      <c r="H4" s="3"/>
      <c r="I4" s="11"/>
      <c r="J4" s="6"/>
      <c r="K4" s="7"/>
      <c r="L4" s="7"/>
      <c r="M4" s="3"/>
      <c r="N4" s="3"/>
      <c r="O4" s="12"/>
      <c r="P4" s="8"/>
      <c r="Q4" s="15" t="s">
        <v>57</v>
      </c>
    </row>
    <row r="5" spans="1:17" ht="20.25" customHeight="1">
      <c r="A5" s="63" t="s">
        <v>15</v>
      </c>
      <c r="B5" s="64"/>
      <c r="C5" s="67" t="s">
        <v>105</v>
      </c>
      <c r="D5" s="67"/>
      <c r="E5" s="67"/>
      <c r="F5" s="67" t="s">
        <v>16</v>
      </c>
      <c r="G5" s="67"/>
      <c r="H5" s="67"/>
      <c r="I5" s="67" t="s">
        <v>17</v>
      </c>
      <c r="J5" s="67"/>
      <c r="K5" s="67"/>
      <c r="L5" s="67" t="s">
        <v>18</v>
      </c>
      <c r="M5" s="67"/>
      <c r="N5" s="67"/>
      <c r="O5" s="67" t="s">
        <v>19</v>
      </c>
      <c r="P5" s="67"/>
      <c r="Q5" s="70"/>
    </row>
    <row r="6" spans="1:17" ht="15.75" customHeight="1">
      <c r="A6" s="65"/>
      <c r="B6" s="66"/>
      <c r="C6" s="9" t="s">
        <v>20</v>
      </c>
      <c r="D6" s="9" t="s">
        <v>21</v>
      </c>
      <c r="E6" s="9" t="s">
        <v>22</v>
      </c>
      <c r="F6" s="9" t="s">
        <v>20</v>
      </c>
      <c r="G6" s="9" t="s">
        <v>21</v>
      </c>
      <c r="H6" s="9" t="s">
        <v>22</v>
      </c>
      <c r="I6" s="9" t="s">
        <v>20</v>
      </c>
      <c r="J6" s="9" t="s">
        <v>21</v>
      </c>
      <c r="K6" s="9" t="s">
        <v>22</v>
      </c>
      <c r="L6" s="9" t="s">
        <v>20</v>
      </c>
      <c r="M6" s="9" t="s">
        <v>21</v>
      </c>
      <c r="N6" s="9" t="s">
        <v>22</v>
      </c>
      <c r="O6" s="9" t="s">
        <v>20</v>
      </c>
      <c r="P6" s="9" t="s">
        <v>21</v>
      </c>
      <c r="Q6" s="16" t="s">
        <v>22</v>
      </c>
    </row>
    <row r="7" spans="1:17" s="2" customFormat="1" ht="20.25">
      <c r="A7" s="68" t="s">
        <v>23</v>
      </c>
      <c r="B7" s="69"/>
      <c r="C7" s="13">
        <f>C8+C14</f>
        <v>32035073.500000004</v>
      </c>
      <c r="D7" s="13">
        <f aca="true" t="shared" si="0" ref="D7:Q7">D8+D14</f>
        <v>39488476.2</v>
      </c>
      <c r="E7" s="13">
        <f>E8+E14</f>
        <v>22767953.1299</v>
      </c>
      <c r="F7" s="13">
        <f t="shared" si="0"/>
        <v>3931399.1</v>
      </c>
      <c r="G7" s="13">
        <f t="shared" si="0"/>
        <v>6079581</v>
      </c>
      <c r="H7" s="13">
        <f t="shared" si="0"/>
        <v>5225727.4465</v>
      </c>
      <c r="I7" s="13">
        <f t="shared" si="0"/>
        <v>5025077.2</v>
      </c>
      <c r="J7" s="13">
        <f t="shared" si="0"/>
        <v>7968027.4</v>
      </c>
      <c r="K7" s="13">
        <f t="shared" si="0"/>
        <v>1337391.63</v>
      </c>
      <c r="L7" s="13">
        <f t="shared" si="0"/>
        <v>6174135.899999999</v>
      </c>
      <c r="M7" s="13">
        <f t="shared" si="0"/>
        <v>8630128.6</v>
      </c>
      <c r="N7" s="13">
        <f t="shared" si="0"/>
        <v>6929604.077</v>
      </c>
      <c r="O7" s="13">
        <f t="shared" si="0"/>
        <v>16904461.3</v>
      </c>
      <c r="P7" s="13">
        <f t="shared" si="0"/>
        <v>16810739.2</v>
      </c>
      <c r="Q7" s="17">
        <f t="shared" si="0"/>
        <v>9275229.9764</v>
      </c>
    </row>
    <row r="8" spans="1:17" s="2" customFormat="1" ht="20.25">
      <c r="A8" s="68" t="s">
        <v>24</v>
      </c>
      <c r="B8" s="69"/>
      <c r="C8" s="47">
        <f>SUM(C9:C13)</f>
        <v>12760335</v>
      </c>
      <c r="D8" s="47">
        <f>SUM(D9:D13)</f>
        <v>12760335</v>
      </c>
      <c r="E8" s="47">
        <f>SUM(E9:E13)</f>
        <v>12356523.789900001</v>
      </c>
      <c r="F8" s="47">
        <f aca="true" t="shared" si="1" ref="F8:P8">SUM(F9:F13)</f>
        <v>0</v>
      </c>
      <c r="G8" s="47">
        <f t="shared" si="1"/>
        <v>0</v>
      </c>
      <c r="H8" s="47">
        <f t="shared" si="1"/>
        <v>1953078.9065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47">
        <f t="shared" si="1"/>
        <v>0</v>
      </c>
      <c r="M8" s="47">
        <f t="shared" si="1"/>
        <v>0</v>
      </c>
      <c r="N8" s="47">
        <f t="shared" si="1"/>
        <v>3645776.407</v>
      </c>
      <c r="O8" s="47">
        <f t="shared" si="1"/>
        <v>12760335</v>
      </c>
      <c r="P8" s="47">
        <f t="shared" si="1"/>
        <v>12760335</v>
      </c>
      <c r="Q8" s="48">
        <f>SUM(Q9:Q13)</f>
        <v>6757668.4764</v>
      </c>
    </row>
    <row r="9" spans="1:17" s="18" customFormat="1" ht="77.25" customHeight="1">
      <c r="A9" s="26" t="s">
        <v>25</v>
      </c>
      <c r="B9" s="27" t="s">
        <v>74</v>
      </c>
      <c r="C9" s="28">
        <v>3645810</v>
      </c>
      <c r="D9" s="28">
        <v>3645810</v>
      </c>
      <c r="E9" s="29">
        <f>H9+K9+N9+Q9</f>
        <v>1549435.66</v>
      </c>
      <c r="F9" s="30">
        <v>0</v>
      </c>
      <c r="G9" s="30">
        <v>0</v>
      </c>
      <c r="H9" s="31"/>
      <c r="I9" s="31"/>
      <c r="J9" s="31">
        <v>0</v>
      </c>
      <c r="K9" s="31"/>
      <c r="L9" s="31">
        <v>0</v>
      </c>
      <c r="M9" s="31">
        <v>0</v>
      </c>
      <c r="N9" s="31"/>
      <c r="O9" s="28">
        <v>3645810</v>
      </c>
      <c r="P9" s="28">
        <v>3645810</v>
      </c>
      <c r="Q9" s="32">
        <v>1549435.66</v>
      </c>
    </row>
    <row r="10" spans="1:17" s="18" customFormat="1" ht="77.25" customHeight="1">
      <c r="A10" s="26" t="s">
        <v>26</v>
      </c>
      <c r="B10" s="27" t="s">
        <v>102</v>
      </c>
      <c r="C10" s="28">
        <v>5208300</v>
      </c>
      <c r="D10" s="28">
        <v>5208300</v>
      </c>
      <c r="E10" s="29">
        <f>H10+K10+N10+Q10</f>
        <v>4947851.4064</v>
      </c>
      <c r="F10" s="30">
        <v>0</v>
      </c>
      <c r="G10" s="30">
        <v>0</v>
      </c>
      <c r="H10" s="31"/>
      <c r="I10" s="31">
        <v>0</v>
      </c>
      <c r="J10" s="31">
        <v>0</v>
      </c>
      <c r="K10" s="31"/>
      <c r="L10" s="31">
        <v>0</v>
      </c>
      <c r="M10" s="31">
        <v>0</v>
      </c>
      <c r="N10" s="31"/>
      <c r="O10" s="28">
        <v>5208300</v>
      </c>
      <c r="P10" s="28">
        <v>5208300</v>
      </c>
      <c r="Q10" s="32">
        <v>4947851.4064</v>
      </c>
    </row>
    <row r="11" spans="1:17" s="18" customFormat="1" ht="81" customHeight="1">
      <c r="A11" s="26">
        <v>3</v>
      </c>
      <c r="B11" s="27" t="s">
        <v>75</v>
      </c>
      <c r="C11" s="28">
        <v>3645810.0000000005</v>
      </c>
      <c r="D11" s="28">
        <v>3645810.0000000005</v>
      </c>
      <c r="E11" s="29">
        <f>H11+K11+N11+Q11</f>
        <v>3645776.407</v>
      </c>
      <c r="F11" s="29">
        <v>0</v>
      </c>
      <c r="G11" s="29">
        <v>0</v>
      </c>
      <c r="H11" s="31"/>
      <c r="I11" s="29">
        <v>0</v>
      </c>
      <c r="J11" s="31">
        <v>0</v>
      </c>
      <c r="K11" s="31"/>
      <c r="L11" s="31">
        <v>0</v>
      </c>
      <c r="M11" s="31">
        <v>0</v>
      </c>
      <c r="N11" s="31">
        <v>3645776.407</v>
      </c>
      <c r="O11" s="28">
        <v>3645810.0000000005</v>
      </c>
      <c r="P11" s="28">
        <v>3645810.0000000005</v>
      </c>
      <c r="Q11" s="32"/>
    </row>
    <row r="12" spans="1:17" s="18" customFormat="1" ht="79.5" customHeight="1">
      <c r="A12" s="26">
        <v>4</v>
      </c>
      <c r="B12" s="27" t="s">
        <v>76</v>
      </c>
      <c r="C12" s="29">
        <v>260415.00000000003</v>
      </c>
      <c r="D12" s="29">
        <v>260415.00000000003</v>
      </c>
      <c r="E12" s="29">
        <f>H12+K12+N12+Q12</f>
        <v>260381.41</v>
      </c>
      <c r="F12" s="29">
        <v>0</v>
      </c>
      <c r="G12" s="29">
        <v>0</v>
      </c>
      <c r="H12" s="31"/>
      <c r="I12" s="29">
        <v>0</v>
      </c>
      <c r="J12" s="31">
        <v>0</v>
      </c>
      <c r="K12" s="31"/>
      <c r="L12" s="31">
        <v>0</v>
      </c>
      <c r="M12" s="31">
        <v>0</v>
      </c>
      <c r="N12" s="31"/>
      <c r="O12" s="29">
        <v>260415.00000000003</v>
      </c>
      <c r="P12" s="31">
        <v>260415.00000000003</v>
      </c>
      <c r="Q12" s="32">
        <v>260381.41</v>
      </c>
    </row>
    <row r="13" spans="1:17" s="18" customFormat="1" ht="79.5" customHeight="1">
      <c r="A13" s="26">
        <v>5</v>
      </c>
      <c r="B13" s="27" t="s">
        <v>51</v>
      </c>
      <c r="C13" s="29">
        <v>0</v>
      </c>
      <c r="D13" s="29">
        <v>0</v>
      </c>
      <c r="E13" s="29">
        <f>H13+K13+N13+Q13</f>
        <v>1953078.9065</v>
      </c>
      <c r="F13" s="29">
        <v>0</v>
      </c>
      <c r="G13" s="29"/>
      <c r="H13" s="31">
        <v>1953078.9065</v>
      </c>
      <c r="I13" s="29">
        <v>0</v>
      </c>
      <c r="J13" s="31">
        <v>0</v>
      </c>
      <c r="K13" s="31"/>
      <c r="L13" s="31">
        <v>0</v>
      </c>
      <c r="M13" s="31">
        <v>0</v>
      </c>
      <c r="N13" s="31"/>
      <c r="O13" s="29"/>
      <c r="P13" s="31">
        <v>0</v>
      </c>
      <c r="Q13" s="32"/>
    </row>
    <row r="14" spans="1:17" ht="32.25" customHeight="1">
      <c r="A14" s="68" t="s">
        <v>68</v>
      </c>
      <c r="B14" s="69"/>
      <c r="C14" s="13">
        <f aca="true" t="shared" si="2" ref="C14:Q14">C15+C62</f>
        <v>19274738.500000004</v>
      </c>
      <c r="D14" s="13">
        <f t="shared" si="2"/>
        <v>26728141.200000007</v>
      </c>
      <c r="E14" s="13">
        <f t="shared" si="2"/>
        <v>10411429.34</v>
      </c>
      <c r="F14" s="13">
        <f t="shared" si="2"/>
        <v>3931399.1</v>
      </c>
      <c r="G14" s="13">
        <f t="shared" si="2"/>
        <v>6079581</v>
      </c>
      <c r="H14" s="13">
        <f t="shared" si="2"/>
        <v>3272648.5399999996</v>
      </c>
      <c r="I14" s="13">
        <f t="shared" si="2"/>
        <v>5025077.2</v>
      </c>
      <c r="J14" s="13">
        <f t="shared" si="2"/>
        <v>7968027.4</v>
      </c>
      <c r="K14" s="13">
        <f t="shared" si="2"/>
        <v>1337391.63</v>
      </c>
      <c r="L14" s="13">
        <f t="shared" si="2"/>
        <v>6174135.899999999</v>
      </c>
      <c r="M14" s="13">
        <f t="shared" si="2"/>
        <v>8630128.6</v>
      </c>
      <c r="N14" s="13">
        <f t="shared" si="2"/>
        <v>3283827.67</v>
      </c>
      <c r="O14" s="13">
        <f t="shared" si="2"/>
        <v>4144126.3000000003</v>
      </c>
      <c r="P14" s="13">
        <f t="shared" si="2"/>
        <v>4050404.2</v>
      </c>
      <c r="Q14" s="17">
        <f t="shared" si="2"/>
        <v>2517561.5</v>
      </c>
    </row>
    <row r="15" spans="1:17" ht="32.25" customHeight="1">
      <c r="A15" s="68" t="s">
        <v>27</v>
      </c>
      <c r="B15" s="69"/>
      <c r="C15" s="13">
        <f aca="true" t="shared" si="3" ref="C15:Q15">SUM(C16:C61)</f>
        <v>18460490.500000004</v>
      </c>
      <c r="D15" s="13">
        <f t="shared" si="3"/>
        <v>24181917.900000006</v>
      </c>
      <c r="E15" s="13">
        <f t="shared" si="3"/>
        <v>7716292.13</v>
      </c>
      <c r="F15" s="13">
        <f t="shared" si="3"/>
        <v>3723700.5</v>
      </c>
      <c r="G15" s="13">
        <f t="shared" si="3"/>
        <v>5411862.1</v>
      </c>
      <c r="H15" s="13">
        <f t="shared" si="3"/>
        <v>3059227.1199999996</v>
      </c>
      <c r="I15" s="13">
        <f t="shared" si="3"/>
        <v>4609680</v>
      </c>
      <c r="J15" s="13">
        <f t="shared" si="3"/>
        <v>7136118.2</v>
      </c>
      <c r="K15" s="13">
        <f t="shared" si="3"/>
        <v>851656.2999999999</v>
      </c>
      <c r="L15" s="13">
        <f t="shared" si="3"/>
        <v>5982983.699999999</v>
      </c>
      <c r="M15" s="13">
        <f t="shared" si="3"/>
        <v>7844498.999999999</v>
      </c>
      <c r="N15" s="13">
        <f t="shared" si="3"/>
        <v>2815745.08</v>
      </c>
      <c r="O15" s="13">
        <f t="shared" si="3"/>
        <v>4144126.3000000003</v>
      </c>
      <c r="P15" s="13">
        <f t="shared" si="3"/>
        <v>3789438.6</v>
      </c>
      <c r="Q15" s="17">
        <f t="shared" si="3"/>
        <v>989663.63</v>
      </c>
    </row>
    <row r="16" spans="1:17" ht="57.75" customHeight="1">
      <c r="A16" s="26" t="s">
        <v>25</v>
      </c>
      <c r="B16" s="36" t="s">
        <v>50</v>
      </c>
      <c r="C16" s="34">
        <f aca="true" t="shared" si="4" ref="C16:E31">F16+I16+L16+O16</f>
        <v>112896.4</v>
      </c>
      <c r="D16" s="34">
        <f t="shared" si="4"/>
        <v>112896.4</v>
      </c>
      <c r="E16" s="34">
        <f t="shared" si="4"/>
        <v>116210</v>
      </c>
      <c r="F16" s="35">
        <v>28224.1</v>
      </c>
      <c r="G16" s="28">
        <f>F16+0</f>
        <v>28224.1</v>
      </c>
      <c r="H16" s="34">
        <v>25014.95</v>
      </c>
      <c r="I16" s="35">
        <f>56448.2-28224.1</f>
        <v>28224.1</v>
      </c>
      <c r="J16" s="28">
        <f>I16+0</f>
        <v>28224.1</v>
      </c>
      <c r="K16" s="34">
        <v>27572.05</v>
      </c>
      <c r="L16" s="35">
        <f>84672.3-56448.2</f>
        <v>28224.100000000006</v>
      </c>
      <c r="M16" s="28">
        <f>L16+0</f>
        <v>28224.100000000006</v>
      </c>
      <c r="N16" s="28">
        <v>31773.94</v>
      </c>
      <c r="O16" s="35">
        <f>112896.4-84672.3</f>
        <v>28224.09999999999</v>
      </c>
      <c r="P16" s="28">
        <f>O16+0</f>
        <v>28224.09999999999</v>
      </c>
      <c r="Q16" s="32">
        <v>31849.06</v>
      </c>
    </row>
    <row r="17" spans="1:17" ht="50.25" customHeight="1">
      <c r="A17" s="26" t="s">
        <v>26</v>
      </c>
      <c r="B17" s="33" t="s">
        <v>122</v>
      </c>
      <c r="C17" s="34">
        <f t="shared" si="4"/>
        <v>4733</v>
      </c>
      <c r="D17" s="34">
        <f t="shared" si="4"/>
        <v>4733</v>
      </c>
      <c r="E17" s="34">
        <f t="shared" si="4"/>
        <v>0</v>
      </c>
      <c r="F17" s="35">
        <v>4733</v>
      </c>
      <c r="G17" s="28">
        <f aca="true" t="shared" si="5" ref="G17:G47">F17+0</f>
        <v>4733</v>
      </c>
      <c r="H17" s="34">
        <v>0</v>
      </c>
      <c r="I17" s="35">
        <v>0</v>
      </c>
      <c r="J17" s="28">
        <f aca="true" t="shared" si="6" ref="J17:J47">I17+0</f>
        <v>0</v>
      </c>
      <c r="K17" s="28">
        <v>0</v>
      </c>
      <c r="L17" s="35">
        <v>0</v>
      </c>
      <c r="M17" s="28">
        <f aca="true" t="shared" si="7" ref="M17:M47">L17+0</f>
        <v>0</v>
      </c>
      <c r="N17" s="28">
        <v>0</v>
      </c>
      <c r="O17" s="35">
        <v>0</v>
      </c>
      <c r="P17" s="28">
        <f aca="true" t="shared" si="8" ref="P17:P47">O17+0</f>
        <v>0</v>
      </c>
      <c r="Q17" s="32">
        <v>0</v>
      </c>
    </row>
    <row r="18" spans="1:17" ht="66.75" customHeight="1">
      <c r="A18" s="26" t="s">
        <v>1</v>
      </c>
      <c r="B18" s="33" t="s">
        <v>43</v>
      </c>
      <c r="C18" s="34">
        <f t="shared" si="4"/>
        <v>3313.8</v>
      </c>
      <c r="D18" s="34">
        <f t="shared" si="4"/>
        <v>3313.8</v>
      </c>
      <c r="E18" s="34">
        <f t="shared" si="4"/>
        <v>25043.17</v>
      </c>
      <c r="F18" s="35">
        <v>3313.8</v>
      </c>
      <c r="G18" s="28">
        <f t="shared" si="5"/>
        <v>3313.8</v>
      </c>
      <c r="H18" s="34">
        <v>25043.17</v>
      </c>
      <c r="I18" s="35">
        <v>0</v>
      </c>
      <c r="J18" s="28">
        <f t="shared" si="6"/>
        <v>0</v>
      </c>
      <c r="K18" s="34">
        <v>0</v>
      </c>
      <c r="L18" s="35">
        <v>0</v>
      </c>
      <c r="M18" s="28">
        <f t="shared" si="7"/>
        <v>0</v>
      </c>
      <c r="N18" s="28">
        <v>0</v>
      </c>
      <c r="O18" s="35">
        <v>0</v>
      </c>
      <c r="P18" s="28">
        <f t="shared" si="8"/>
        <v>0</v>
      </c>
      <c r="Q18" s="32">
        <v>0</v>
      </c>
    </row>
    <row r="19" spans="1:17" ht="51.75" customHeight="1">
      <c r="A19" s="26" t="s">
        <v>28</v>
      </c>
      <c r="B19" s="33" t="s">
        <v>44</v>
      </c>
      <c r="C19" s="34">
        <f t="shared" si="4"/>
        <v>4734</v>
      </c>
      <c r="D19" s="34">
        <f t="shared" si="4"/>
        <v>4734</v>
      </c>
      <c r="E19" s="34">
        <f t="shared" si="4"/>
        <v>0</v>
      </c>
      <c r="F19" s="35">
        <v>4734</v>
      </c>
      <c r="G19" s="28">
        <f t="shared" si="5"/>
        <v>4734</v>
      </c>
      <c r="H19" s="34">
        <v>0</v>
      </c>
      <c r="I19" s="35">
        <v>0</v>
      </c>
      <c r="J19" s="28">
        <f t="shared" si="6"/>
        <v>0</v>
      </c>
      <c r="K19" s="34">
        <v>0</v>
      </c>
      <c r="L19" s="35">
        <v>0</v>
      </c>
      <c r="M19" s="28">
        <f t="shared" si="7"/>
        <v>0</v>
      </c>
      <c r="N19" s="28">
        <v>0</v>
      </c>
      <c r="O19" s="35">
        <v>0</v>
      </c>
      <c r="P19" s="28">
        <f t="shared" si="8"/>
        <v>0</v>
      </c>
      <c r="Q19" s="32">
        <v>0</v>
      </c>
    </row>
    <row r="20" spans="1:17" ht="64.5" customHeight="1">
      <c r="A20" s="26" t="s">
        <v>2</v>
      </c>
      <c r="B20" s="33" t="s">
        <v>45</v>
      </c>
      <c r="C20" s="34">
        <f t="shared" si="4"/>
        <v>4734</v>
      </c>
      <c r="D20" s="34">
        <f t="shared" si="4"/>
        <v>4734</v>
      </c>
      <c r="E20" s="34">
        <f t="shared" si="4"/>
        <v>0</v>
      </c>
      <c r="F20" s="35">
        <v>4734</v>
      </c>
      <c r="G20" s="28">
        <f t="shared" si="5"/>
        <v>4734</v>
      </c>
      <c r="H20" s="34">
        <v>0</v>
      </c>
      <c r="I20" s="35">
        <v>0</v>
      </c>
      <c r="J20" s="28">
        <f t="shared" si="6"/>
        <v>0</v>
      </c>
      <c r="K20" s="34">
        <v>0</v>
      </c>
      <c r="L20" s="35">
        <v>0</v>
      </c>
      <c r="M20" s="28">
        <f t="shared" si="7"/>
        <v>0</v>
      </c>
      <c r="N20" s="28">
        <v>0</v>
      </c>
      <c r="O20" s="35">
        <v>0</v>
      </c>
      <c r="P20" s="28">
        <f t="shared" si="8"/>
        <v>0</v>
      </c>
      <c r="Q20" s="32">
        <v>0</v>
      </c>
    </row>
    <row r="21" spans="1:17" ht="59.25" customHeight="1">
      <c r="A21" s="26" t="s">
        <v>3</v>
      </c>
      <c r="B21" s="33" t="s">
        <v>46</v>
      </c>
      <c r="C21" s="34">
        <f t="shared" si="4"/>
        <v>31244.4</v>
      </c>
      <c r="D21" s="34">
        <f t="shared" si="4"/>
        <v>31244.4</v>
      </c>
      <c r="E21" s="34">
        <f t="shared" si="4"/>
        <v>0</v>
      </c>
      <c r="F21" s="35">
        <v>12497.8</v>
      </c>
      <c r="G21" s="28">
        <f t="shared" si="5"/>
        <v>12497.8</v>
      </c>
      <c r="H21" s="34">
        <v>0</v>
      </c>
      <c r="I21" s="35">
        <f>28120-12497.8</f>
        <v>15622.2</v>
      </c>
      <c r="J21" s="28">
        <f t="shared" si="6"/>
        <v>15622.2</v>
      </c>
      <c r="K21" s="34">
        <v>0</v>
      </c>
      <c r="L21" s="35">
        <f>31244.4-28120</f>
        <v>3124.4000000000015</v>
      </c>
      <c r="M21" s="28">
        <f t="shared" si="7"/>
        <v>3124.4000000000015</v>
      </c>
      <c r="N21" s="28">
        <v>0</v>
      </c>
      <c r="O21" s="35">
        <v>0</v>
      </c>
      <c r="P21" s="28">
        <f t="shared" si="8"/>
        <v>0</v>
      </c>
      <c r="Q21" s="32">
        <v>0</v>
      </c>
    </row>
    <row r="22" spans="1:17" ht="60.75" customHeight="1">
      <c r="A22" s="26" t="s">
        <v>4</v>
      </c>
      <c r="B22" s="33" t="s">
        <v>47</v>
      </c>
      <c r="C22" s="34">
        <f t="shared" si="4"/>
        <v>29113.6</v>
      </c>
      <c r="D22" s="34">
        <f t="shared" si="4"/>
        <v>29113.6</v>
      </c>
      <c r="E22" s="34">
        <f t="shared" si="4"/>
        <v>78184</v>
      </c>
      <c r="F22" s="35">
        <v>29113.6</v>
      </c>
      <c r="G22" s="28">
        <f t="shared" si="5"/>
        <v>29113.6</v>
      </c>
      <c r="H22" s="34">
        <v>78184</v>
      </c>
      <c r="I22" s="35">
        <v>0</v>
      </c>
      <c r="J22" s="28">
        <f t="shared" si="6"/>
        <v>0</v>
      </c>
      <c r="K22" s="34">
        <v>0</v>
      </c>
      <c r="L22" s="35">
        <v>0</v>
      </c>
      <c r="M22" s="28">
        <f t="shared" si="7"/>
        <v>0</v>
      </c>
      <c r="N22" s="28">
        <v>0</v>
      </c>
      <c r="O22" s="35"/>
      <c r="P22" s="28">
        <f t="shared" si="8"/>
        <v>0</v>
      </c>
      <c r="Q22" s="32">
        <v>0</v>
      </c>
    </row>
    <row r="23" spans="1:17" ht="48.75" customHeight="1">
      <c r="A23" s="26" t="s">
        <v>5</v>
      </c>
      <c r="B23" s="33" t="s">
        <v>52</v>
      </c>
      <c r="C23" s="34">
        <f t="shared" si="4"/>
        <v>151487</v>
      </c>
      <c r="D23" s="34">
        <f>G23+J23+M23+O23</f>
        <v>151487</v>
      </c>
      <c r="E23" s="34">
        <f t="shared" si="4"/>
        <v>187028.57</v>
      </c>
      <c r="F23" s="35">
        <v>136338.3</v>
      </c>
      <c r="G23" s="28">
        <f t="shared" si="5"/>
        <v>136338.3</v>
      </c>
      <c r="H23" s="34">
        <v>187028.57</v>
      </c>
      <c r="I23" s="35">
        <f>151487-136338.3</f>
        <v>15148.700000000012</v>
      </c>
      <c r="J23" s="28">
        <f t="shared" si="6"/>
        <v>15148.700000000012</v>
      </c>
      <c r="K23" s="34">
        <v>0</v>
      </c>
      <c r="L23" s="35">
        <v>0</v>
      </c>
      <c r="M23" s="28">
        <f t="shared" si="7"/>
        <v>0</v>
      </c>
      <c r="N23" s="28">
        <v>0</v>
      </c>
      <c r="O23" s="28">
        <v>0</v>
      </c>
      <c r="P23" s="28">
        <f t="shared" si="8"/>
        <v>0</v>
      </c>
      <c r="Q23" s="32">
        <v>0</v>
      </c>
    </row>
    <row r="24" spans="1:17" ht="54.75" customHeight="1">
      <c r="A24" s="26" t="s">
        <v>6</v>
      </c>
      <c r="B24" s="33" t="s">
        <v>77</v>
      </c>
      <c r="C24" s="34">
        <f t="shared" si="4"/>
        <v>71010</v>
      </c>
      <c r="D24" s="34">
        <f>G24+J24+M24+O24</f>
        <v>71010</v>
      </c>
      <c r="E24" s="34">
        <f t="shared" si="4"/>
        <v>94926.63</v>
      </c>
      <c r="F24" s="35">
        <v>21303</v>
      </c>
      <c r="G24" s="28">
        <f t="shared" si="5"/>
        <v>21303</v>
      </c>
      <c r="H24" s="34">
        <v>0</v>
      </c>
      <c r="I24" s="35">
        <f>63909-21303</f>
        <v>42606</v>
      </c>
      <c r="J24" s="28">
        <f t="shared" si="6"/>
        <v>42606</v>
      </c>
      <c r="K24" s="34">
        <v>0</v>
      </c>
      <c r="L24" s="35">
        <f>71010-63909</f>
        <v>7101</v>
      </c>
      <c r="M24" s="28">
        <f t="shared" si="7"/>
        <v>7101</v>
      </c>
      <c r="N24" s="28">
        <v>37974.4</v>
      </c>
      <c r="O24" s="28">
        <v>0</v>
      </c>
      <c r="P24" s="28">
        <f t="shared" si="8"/>
        <v>0</v>
      </c>
      <c r="Q24" s="32">
        <v>56952.23</v>
      </c>
    </row>
    <row r="25" spans="1:17" ht="43.5" customHeight="1">
      <c r="A25" s="26" t="s">
        <v>7</v>
      </c>
      <c r="B25" s="33" t="s">
        <v>48</v>
      </c>
      <c r="C25" s="34">
        <f t="shared" si="4"/>
        <v>103200.9</v>
      </c>
      <c r="D25" s="34">
        <f t="shared" si="4"/>
        <v>103200.9</v>
      </c>
      <c r="E25" s="34">
        <f t="shared" si="4"/>
        <v>0</v>
      </c>
      <c r="F25" s="35">
        <v>51600.5</v>
      </c>
      <c r="G25" s="28">
        <f t="shared" si="5"/>
        <v>51600.5</v>
      </c>
      <c r="H25" s="34">
        <v>0</v>
      </c>
      <c r="I25" s="35">
        <f>103200.9-51600.5</f>
        <v>51600.399999999994</v>
      </c>
      <c r="J25" s="28">
        <f t="shared" si="6"/>
        <v>51600.399999999994</v>
      </c>
      <c r="K25" s="34">
        <v>0</v>
      </c>
      <c r="L25" s="35">
        <v>0</v>
      </c>
      <c r="M25" s="28">
        <f t="shared" si="7"/>
        <v>0</v>
      </c>
      <c r="N25" s="28">
        <v>0</v>
      </c>
      <c r="O25" s="35">
        <v>0</v>
      </c>
      <c r="P25" s="28">
        <f t="shared" si="8"/>
        <v>0</v>
      </c>
      <c r="Q25" s="32">
        <v>0</v>
      </c>
    </row>
    <row r="26" spans="1:17" ht="57.75" customHeight="1">
      <c r="A26" s="26" t="s">
        <v>8</v>
      </c>
      <c r="B26" s="33" t="s">
        <v>58</v>
      </c>
      <c r="C26" s="34">
        <f t="shared" si="4"/>
        <v>111722.4</v>
      </c>
      <c r="D26" s="34">
        <f t="shared" si="4"/>
        <v>111722.4</v>
      </c>
      <c r="E26" s="34">
        <f t="shared" si="4"/>
        <v>12986.7</v>
      </c>
      <c r="F26" s="35">
        <v>27930.6</v>
      </c>
      <c r="G26" s="28">
        <f t="shared" si="5"/>
        <v>27930.6</v>
      </c>
      <c r="H26" s="34">
        <v>0</v>
      </c>
      <c r="I26" s="35">
        <f>55861.2-27930.6</f>
        <v>27930.6</v>
      </c>
      <c r="J26" s="28">
        <f t="shared" si="6"/>
        <v>27930.6</v>
      </c>
      <c r="K26" s="34">
        <v>0</v>
      </c>
      <c r="L26" s="35">
        <f>83791.8-55861.2</f>
        <v>27930.600000000006</v>
      </c>
      <c r="M26" s="28">
        <f t="shared" si="7"/>
        <v>27930.600000000006</v>
      </c>
      <c r="N26" s="28">
        <v>0</v>
      </c>
      <c r="O26" s="35">
        <f>111722.4-83791.8</f>
        <v>27930.59999999999</v>
      </c>
      <c r="P26" s="28">
        <f t="shared" si="8"/>
        <v>27930.59999999999</v>
      </c>
      <c r="Q26" s="32">
        <v>12986.7</v>
      </c>
    </row>
    <row r="27" spans="1:17" ht="64.5" customHeight="1">
      <c r="A27" s="26" t="s">
        <v>9</v>
      </c>
      <c r="B27" s="33" t="s">
        <v>53</v>
      </c>
      <c r="C27" s="34">
        <f t="shared" si="4"/>
        <v>108834.7</v>
      </c>
      <c r="D27" s="34">
        <f t="shared" si="4"/>
        <v>108834.7</v>
      </c>
      <c r="E27" s="34">
        <f t="shared" si="4"/>
        <v>65543.56</v>
      </c>
      <c r="F27" s="35">
        <v>16000</v>
      </c>
      <c r="G27" s="28">
        <f t="shared" si="5"/>
        <v>16000</v>
      </c>
      <c r="H27" s="34">
        <v>23612.56</v>
      </c>
      <c r="I27" s="35">
        <f>108834.7-16000</f>
        <v>92834.7</v>
      </c>
      <c r="J27" s="28">
        <f t="shared" si="6"/>
        <v>92834.7</v>
      </c>
      <c r="K27" s="34">
        <v>41931</v>
      </c>
      <c r="L27" s="35">
        <v>0</v>
      </c>
      <c r="M27" s="28">
        <f t="shared" si="7"/>
        <v>0</v>
      </c>
      <c r="N27" s="28">
        <v>0</v>
      </c>
      <c r="O27" s="35">
        <v>0</v>
      </c>
      <c r="P27" s="28">
        <f t="shared" si="8"/>
        <v>0</v>
      </c>
      <c r="Q27" s="38"/>
    </row>
    <row r="28" spans="1:17" ht="47.25" customHeight="1">
      <c r="A28" s="26" t="s">
        <v>10</v>
      </c>
      <c r="B28" s="33" t="s">
        <v>36</v>
      </c>
      <c r="C28" s="34">
        <f t="shared" si="4"/>
        <v>88762.5</v>
      </c>
      <c r="D28" s="34">
        <f t="shared" si="4"/>
        <v>88762.5</v>
      </c>
      <c r="E28" s="34">
        <f t="shared" si="4"/>
        <v>113708.6</v>
      </c>
      <c r="F28" s="35">
        <v>26628.8</v>
      </c>
      <c r="G28" s="28">
        <f t="shared" si="5"/>
        <v>26628.8</v>
      </c>
      <c r="H28" s="34">
        <v>66546.7</v>
      </c>
      <c r="I28" s="35">
        <f>88762.5-26628.8</f>
        <v>62133.7</v>
      </c>
      <c r="J28" s="28">
        <f t="shared" si="6"/>
        <v>62133.7</v>
      </c>
      <c r="K28" s="34">
        <v>47161.9</v>
      </c>
      <c r="L28" s="35">
        <v>0</v>
      </c>
      <c r="M28" s="28">
        <f t="shared" si="7"/>
        <v>0</v>
      </c>
      <c r="N28" s="28">
        <v>0</v>
      </c>
      <c r="O28" s="35">
        <v>0</v>
      </c>
      <c r="P28" s="28">
        <f t="shared" si="8"/>
        <v>0</v>
      </c>
      <c r="Q28" s="32"/>
    </row>
    <row r="29" spans="1:17" ht="51.75" customHeight="1">
      <c r="A29" s="26" t="s">
        <v>11</v>
      </c>
      <c r="B29" s="33" t="s">
        <v>72</v>
      </c>
      <c r="C29" s="34">
        <f t="shared" si="4"/>
        <v>3783820</v>
      </c>
      <c r="D29" s="34">
        <f t="shared" si="4"/>
        <v>3783820</v>
      </c>
      <c r="E29" s="34">
        <f t="shared" si="4"/>
        <v>889892.99</v>
      </c>
      <c r="F29" s="35">
        <v>1466230.4</v>
      </c>
      <c r="G29" s="28">
        <f t="shared" si="5"/>
        <v>1466230.4</v>
      </c>
      <c r="H29" s="34">
        <v>518657.1</v>
      </c>
      <c r="I29" s="35">
        <f>2932460.6-1466230.4</f>
        <v>1466230.2000000002</v>
      </c>
      <c r="J29" s="28">
        <f t="shared" si="6"/>
        <v>1466230.2000000002</v>
      </c>
      <c r="K29" s="34">
        <v>195509.77</v>
      </c>
      <c r="L29" s="35">
        <f>3641926.8-2932460.6</f>
        <v>709466.1999999997</v>
      </c>
      <c r="M29" s="28">
        <f t="shared" si="7"/>
        <v>709466.1999999997</v>
      </c>
      <c r="N29" s="28">
        <v>175726.12</v>
      </c>
      <c r="O29" s="35">
        <f>3783820-3641926.8</f>
        <v>141893.2000000002</v>
      </c>
      <c r="P29" s="28">
        <f t="shared" si="8"/>
        <v>141893.2000000002</v>
      </c>
      <c r="Q29" s="39"/>
    </row>
    <row r="30" spans="1:17" ht="51.75" customHeight="1">
      <c r="A30" s="26" t="s">
        <v>12</v>
      </c>
      <c r="B30" s="33" t="s">
        <v>70</v>
      </c>
      <c r="C30" s="34">
        <f t="shared" si="4"/>
        <v>1423123.9000000001</v>
      </c>
      <c r="D30" s="34">
        <f t="shared" si="4"/>
        <v>1423123.9000000001</v>
      </c>
      <c r="E30" s="34">
        <f t="shared" si="4"/>
        <v>1362479.9</v>
      </c>
      <c r="F30" s="35">
        <v>142313.2</v>
      </c>
      <c r="G30" s="28">
        <f t="shared" si="5"/>
        <v>142313.2</v>
      </c>
      <c r="H30" s="34">
        <v>495042.3</v>
      </c>
      <c r="I30" s="35">
        <f>426936.9-142312.3</f>
        <v>284624.60000000003</v>
      </c>
      <c r="J30" s="28">
        <f t="shared" si="6"/>
        <v>284624.60000000003</v>
      </c>
      <c r="K30" s="34">
        <v>0</v>
      </c>
      <c r="L30" s="35">
        <f>1280810.7-426936.9</f>
        <v>853873.7999999999</v>
      </c>
      <c r="M30" s="28">
        <f t="shared" si="7"/>
        <v>853873.7999999999</v>
      </c>
      <c r="N30" s="28">
        <v>867437.6</v>
      </c>
      <c r="O30" s="35">
        <f>1423123-1280810.7</f>
        <v>142312.30000000005</v>
      </c>
      <c r="P30" s="28">
        <f t="shared" si="8"/>
        <v>142312.30000000005</v>
      </c>
      <c r="Q30" s="39"/>
    </row>
    <row r="31" spans="1:18" ht="45.75" customHeight="1">
      <c r="A31" s="26" t="s">
        <v>13</v>
      </c>
      <c r="B31" s="33" t="s">
        <v>71</v>
      </c>
      <c r="C31" s="34">
        <f t="shared" si="4"/>
        <v>272773.1</v>
      </c>
      <c r="D31" s="34">
        <f t="shared" si="4"/>
        <v>272773.1</v>
      </c>
      <c r="E31" s="34">
        <f t="shared" si="4"/>
        <v>292300.9</v>
      </c>
      <c r="F31" s="35">
        <v>54554.6</v>
      </c>
      <c r="G31" s="28">
        <f t="shared" si="5"/>
        <v>54554.6</v>
      </c>
      <c r="H31" s="34">
        <v>6340.4</v>
      </c>
      <c r="I31" s="35">
        <f>136386.5-54554.6</f>
        <v>81831.9</v>
      </c>
      <c r="J31" s="28">
        <f t="shared" si="6"/>
        <v>81831.9</v>
      </c>
      <c r="K31" s="34">
        <v>285960.5</v>
      </c>
      <c r="L31" s="35">
        <f>245495.7-136386.5</f>
        <v>109109.20000000001</v>
      </c>
      <c r="M31" s="28">
        <f t="shared" si="7"/>
        <v>109109.20000000001</v>
      </c>
      <c r="N31" s="28">
        <v>0</v>
      </c>
      <c r="O31" s="35">
        <f>272773.1-245495.7</f>
        <v>27277.399999999965</v>
      </c>
      <c r="P31" s="28">
        <f t="shared" si="8"/>
        <v>27277.399999999965</v>
      </c>
      <c r="Q31" s="39"/>
      <c r="R31" s="50"/>
    </row>
    <row r="32" spans="1:17" ht="51.75" customHeight="1">
      <c r="A32" s="26" t="s">
        <v>30</v>
      </c>
      <c r="B32" s="33" t="s">
        <v>54</v>
      </c>
      <c r="C32" s="34">
        <f aca="true" t="shared" si="9" ref="C32:E48">F32+I32+L32+O32</f>
        <v>1220878.1</v>
      </c>
      <c r="D32" s="34">
        <f t="shared" si="9"/>
        <v>1220878.1</v>
      </c>
      <c r="E32" s="34">
        <f t="shared" si="9"/>
        <v>0</v>
      </c>
      <c r="F32" s="35">
        <v>0</v>
      </c>
      <c r="G32" s="28">
        <f t="shared" si="5"/>
        <v>0</v>
      </c>
      <c r="H32" s="34">
        <v>0</v>
      </c>
      <c r="I32" s="35">
        <f>449730</f>
        <v>449730</v>
      </c>
      <c r="J32" s="28">
        <f t="shared" si="6"/>
        <v>449730</v>
      </c>
      <c r="K32" s="34">
        <v>0</v>
      </c>
      <c r="L32" s="35">
        <f>946800-449730</f>
        <v>497070</v>
      </c>
      <c r="M32" s="28">
        <f t="shared" si="7"/>
        <v>497070</v>
      </c>
      <c r="N32" s="28">
        <v>0</v>
      </c>
      <c r="O32" s="35">
        <f>1220878.1-946800</f>
        <v>274078.1000000001</v>
      </c>
      <c r="P32" s="28">
        <f t="shared" si="8"/>
        <v>274078.1000000001</v>
      </c>
      <c r="Q32" s="32">
        <v>0</v>
      </c>
    </row>
    <row r="33" spans="1:17" ht="60.75" customHeight="1">
      <c r="A33" s="26" t="s">
        <v>31</v>
      </c>
      <c r="B33" s="33" t="s">
        <v>29</v>
      </c>
      <c r="C33" s="34">
        <f t="shared" si="9"/>
        <v>1485626.9</v>
      </c>
      <c r="D33" s="34">
        <f t="shared" si="9"/>
        <v>1485626.9</v>
      </c>
      <c r="E33" s="34">
        <f t="shared" si="9"/>
        <v>0</v>
      </c>
      <c r="F33" s="35">
        <v>200000</v>
      </c>
      <c r="G33" s="28">
        <f t="shared" si="5"/>
        <v>200000</v>
      </c>
      <c r="H33" s="28">
        <v>0</v>
      </c>
      <c r="I33" s="35">
        <f>652000-200000</f>
        <v>452000</v>
      </c>
      <c r="J33" s="28">
        <f t="shared" si="6"/>
        <v>452000</v>
      </c>
      <c r="K33" s="34">
        <v>0</v>
      </c>
      <c r="L33" s="35">
        <f>1252000-652000</f>
        <v>600000</v>
      </c>
      <c r="M33" s="28">
        <f t="shared" si="7"/>
        <v>600000</v>
      </c>
      <c r="N33" s="28">
        <v>0</v>
      </c>
      <c r="O33" s="35">
        <f>1485626.9-1252000</f>
        <v>233626.8999999999</v>
      </c>
      <c r="P33" s="28">
        <f t="shared" si="8"/>
        <v>233626.8999999999</v>
      </c>
      <c r="Q33" s="32"/>
    </row>
    <row r="34" spans="1:17" ht="51.75" customHeight="1">
      <c r="A34" s="26" t="s">
        <v>32</v>
      </c>
      <c r="B34" s="33" t="s">
        <v>78</v>
      </c>
      <c r="C34" s="34">
        <f t="shared" si="9"/>
        <v>2034483.9</v>
      </c>
      <c r="D34" s="34">
        <f t="shared" si="9"/>
        <v>2034483.9</v>
      </c>
      <c r="E34" s="34">
        <f t="shared" si="9"/>
        <v>0</v>
      </c>
      <c r="F34" s="35">
        <v>88621</v>
      </c>
      <c r="G34" s="28">
        <f t="shared" si="5"/>
        <v>88621</v>
      </c>
      <c r="H34" s="28"/>
      <c r="I34" s="35">
        <f>177242-88621</f>
        <v>88621</v>
      </c>
      <c r="J34" s="28">
        <f t="shared" si="6"/>
        <v>88621</v>
      </c>
      <c r="K34" s="34"/>
      <c r="L34" s="35">
        <f>885863-177242</f>
        <v>708621</v>
      </c>
      <c r="M34" s="28">
        <f t="shared" si="7"/>
        <v>708621</v>
      </c>
      <c r="N34" s="28">
        <v>0</v>
      </c>
      <c r="O34" s="35">
        <f>2034483.9-885863</f>
        <v>1148620.9</v>
      </c>
      <c r="P34" s="28">
        <f t="shared" si="8"/>
        <v>1148620.9</v>
      </c>
      <c r="Q34" s="32"/>
    </row>
    <row r="35" spans="1:18" ht="63.75" customHeight="1">
      <c r="A35" s="26" t="s">
        <v>33</v>
      </c>
      <c r="B35" s="33" t="s">
        <v>55</v>
      </c>
      <c r="C35" s="34">
        <f t="shared" si="9"/>
        <v>779595.1</v>
      </c>
      <c r="D35" s="34">
        <f t="shared" si="9"/>
        <v>779595.1</v>
      </c>
      <c r="E35" s="34">
        <f t="shared" si="9"/>
        <v>0</v>
      </c>
      <c r="F35" s="35">
        <v>77426.1</v>
      </c>
      <c r="G35" s="28">
        <f t="shared" si="5"/>
        <v>77426.1</v>
      </c>
      <c r="H35" s="28">
        <v>0</v>
      </c>
      <c r="I35" s="35">
        <f>210922.4-77426.1</f>
        <v>133496.3</v>
      </c>
      <c r="J35" s="28">
        <f t="shared" si="6"/>
        <v>133496.3</v>
      </c>
      <c r="K35" s="34">
        <v>0</v>
      </c>
      <c r="L35" s="35">
        <f>520508.9-210922.4</f>
        <v>309586.5</v>
      </c>
      <c r="M35" s="28">
        <f t="shared" si="7"/>
        <v>309586.5</v>
      </c>
      <c r="N35" s="28">
        <v>0</v>
      </c>
      <c r="O35" s="35">
        <f>779595.1-520508.9</f>
        <v>259086.19999999995</v>
      </c>
      <c r="P35" s="28">
        <f t="shared" si="8"/>
        <v>259086.19999999995</v>
      </c>
      <c r="Q35" s="32"/>
      <c r="R35" s="37"/>
    </row>
    <row r="36" spans="1:18" ht="75" customHeight="1">
      <c r="A36" s="26" t="s">
        <v>34</v>
      </c>
      <c r="B36" s="33" t="s">
        <v>91</v>
      </c>
      <c r="C36" s="34">
        <f t="shared" si="9"/>
        <v>1047305.6</v>
      </c>
      <c r="D36" s="34">
        <f t="shared" si="9"/>
        <v>1047305.6</v>
      </c>
      <c r="E36" s="34">
        <f t="shared" si="9"/>
        <v>1005444.43</v>
      </c>
      <c r="F36" s="35">
        <v>523652.8</v>
      </c>
      <c r="G36" s="28">
        <f t="shared" si="5"/>
        <v>523652.8</v>
      </c>
      <c r="H36" s="28">
        <v>168856.68</v>
      </c>
      <c r="I36" s="35">
        <f>1047305.6-523652.8</f>
        <v>523652.8</v>
      </c>
      <c r="J36" s="28">
        <f t="shared" si="6"/>
        <v>523652.8</v>
      </c>
      <c r="K36" s="34">
        <v>44342.84</v>
      </c>
      <c r="L36" s="35">
        <f>0</f>
        <v>0</v>
      </c>
      <c r="M36" s="28">
        <f t="shared" si="7"/>
        <v>0</v>
      </c>
      <c r="N36" s="28">
        <v>404154.63</v>
      </c>
      <c r="O36" s="35">
        <v>0</v>
      </c>
      <c r="P36" s="28">
        <f t="shared" si="8"/>
        <v>0</v>
      </c>
      <c r="Q36" s="32">
        <v>388090.28</v>
      </c>
      <c r="R36" s="37"/>
    </row>
    <row r="37" spans="1:18" ht="66" customHeight="1">
      <c r="A37" s="26" t="s">
        <v>35</v>
      </c>
      <c r="B37" s="33" t="s">
        <v>79</v>
      </c>
      <c r="C37" s="34">
        <f t="shared" si="9"/>
        <v>2078101.5</v>
      </c>
      <c r="D37" s="34">
        <f t="shared" si="9"/>
        <v>2078101.5</v>
      </c>
      <c r="E37" s="34">
        <f t="shared" si="9"/>
        <v>0</v>
      </c>
      <c r="F37" s="35">
        <v>0</v>
      </c>
      <c r="G37" s="28">
        <f t="shared" si="5"/>
        <v>0</v>
      </c>
      <c r="H37" s="28">
        <v>0</v>
      </c>
      <c r="I37" s="35">
        <v>0</v>
      </c>
      <c r="J37" s="28">
        <f t="shared" si="6"/>
        <v>0</v>
      </c>
      <c r="K37" s="34">
        <v>0</v>
      </c>
      <c r="L37" s="35">
        <v>1039051</v>
      </c>
      <c r="M37" s="28">
        <f t="shared" si="7"/>
        <v>1039051</v>
      </c>
      <c r="N37" s="28">
        <v>0</v>
      </c>
      <c r="O37" s="35">
        <f>2078101.5-1039051</f>
        <v>1039050.5</v>
      </c>
      <c r="P37" s="28">
        <f t="shared" si="8"/>
        <v>1039050.5</v>
      </c>
      <c r="Q37" s="32">
        <v>0</v>
      </c>
      <c r="R37" s="37"/>
    </row>
    <row r="38" spans="1:18" ht="73.5" customHeight="1">
      <c r="A38" s="26" t="s">
        <v>37</v>
      </c>
      <c r="B38" s="33" t="s">
        <v>80</v>
      </c>
      <c r="C38" s="34">
        <f t="shared" si="9"/>
        <v>363665.8</v>
      </c>
      <c r="D38" s="34">
        <f t="shared" si="9"/>
        <v>363665.8</v>
      </c>
      <c r="E38" s="34">
        <f t="shared" si="9"/>
        <v>0</v>
      </c>
      <c r="F38" s="35">
        <v>0</v>
      </c>
      <c r="G38" s="28">
        <f t="shared" si="5"/>
        <v>0</v>
      </c>
      <c r="H38" s="28">
        <v>0</v>
      </c>
      <c r="I38" s="35">
        <v>0</v>
      </c>
      <c r="J38" s="28">
        <f t="shared" si="6"/>
        <v>0</v>
      </c>
      <c r="K38" s="34">
        <v>0</v>
      </c>
      <c r="L38" s="35">
        <v>181832.9</v>
      </c>
      <c r="M38" s="28">
        <f t="shared" si="7"/>
        <v>181832.9</v>
      </c>
      <c r="N38" s="28">
        <v>0</v>
      </c>
      <c r="O38" s="35">
        <f>363665.8-181832.9</f>
        <v>181832.9</v>
      </c>
      <c r="P38" s="28">
        <f t="shared" si="8"/>
        <v>181832.9</v>
      </c>
      <c r="Q38" s="32">
        <v>0</v>
      </c>
      <c r="R38" s="37"/>
    </row>
    <row r="39" spans="1:18" ht="67.5" customHeight="1">
      <c r="A39" s="26" t="s">
        <v>38</v>
      </c>
      <c r="B39" s="33" t="s">
        <v>69</v>
      </c>
      <c r="C39" s="34">
        <f t="shared" si="9"/>
        <v>118350</v>
      </c>
      <c r="D39" s="34">
        <f t="shared" si="9"/>
        <v>118350</v>
      </c>
      <c r="E39" s="34">
        <f t="shared" si="9"/>
        <v>127250.68</v>
      </c>
      <c r="F39" s="35">
        <v>12075.5</v>
      </c>
      <c r="G39" s="28">
        <f t="shared" si="5"/>
        <v>12075.5</v>
      </c>
      <c r="H39" s="28">
        <v>0</v>
      </c>
      <c r="I39" s="35">
        <f>35226.5-12075.5</f>
        <v>23151</v>
      </c>
      <c r="J39" s="28">
        <f t="shared" si="6"/>
        <v>23151</v>
      </c>
      <c r="K39" s="34">
        <v>88068.62</v>
      </c>
      <c r="L39" s="35">
        <f>82123.5-35226.5</f>
        <v>46897</v>
      </c>
      <c r="M39" s="28">
        <f t="shared" si="7"/>
        <v>46897</v>
      </c>
      <c r="N39" s="28">
        <v>39182.06</v>
      </c>
      <c r="O39" s="35">
        <f>118350-82123.5</f>
        <v>36226.5</v>
      </c>
      <c r="P39" s="28">
        <f t="shared" si="8"/>
        <v>36226.5</v>
      </c>
      <c r="Q39" s="32"/>
      <c r="R39" s="49"/>
    </row>
    <row r="40" spans="1:17" ht="66.75" customHeight="1">
      <c r="A40" s="26" t="s">
        <v>39</v>
      </c>
      <c r="B40" s="33" t="s">
        <v>125</v>
      </c>
      <c r="C40" s="34">
        <f t="shared" si="9"/>
        <v>0</v>
      </c>
      <c r="D40" s="34">
        <f t="shared" si="9"/>
        <v>0</v>
      </c>
      <c r="E40" s="34">
        <f t="shared" si="9"/>
        <v>46914.11</v>
      </c>
      <c r="F40" s="35">
        <v>0</v>
      </c>
      <c r="G40" s="28">
        <f t="shared" si="5"/>
        <v>0</v>
      </c>
      <c r="H40" s="34">
        <v>46914.11</v>
      </c>
      <c r="I40" s="35"/>
      <c r="J40" s="28">
        <v>0</v>
      </c>
      <c r="K40" s="34">
        <v>0</v>
      </c>
      <c r="L40" s="35"/>
      <c r="M40" s="28">
        <v>0</v>
      </c>
      <c r="N40" s="28">
        <v>0</v>
      </c>
      <c r="O40" s="35"/>
      <c r="P40" s="28">
        <v>0</v>
      </c>
      <c r="Q40" s="32">
        <v>0</v>
      </c>
    </row>
    <row r="41" spans="1:17" ht="75" customHeight="1">
      <c r="A41" s="26" t="s">
        <v>40</v>
      </c>
      <c r="B41" s="33" t="s">
        <v>81</v>
      </c>
      <c r="C41" s="34">
        <f t="shared" si="9"/>
        <v>228330.2</v>
      </c>
      <c r="D41" s="34">
        <f t="shared" si="9"/>
        <v>228330.2</v>
      </c>
      <c r="E41" s="34">
        <f t="shared" si="9"/>
        <v>281818.38</v>
      </c>
      <c r="F41" s="35">
        <v>114165.1</v>
      </c>
      <c r="G41" s="28">
        <f t="shared" si="5"/>
        <v>114165.1</v>
      </c>
      <c r="H41" s="28">
        <v>27247.93</v>
      </c>
      <c r="I41" s="35">
        <f>228330.2-114165.1</f>
        <v>114165.1</v>
      </c>
      <c r="J41" s="28">
        <f t="shared" si="6"/>
        <v>114165.1</v>
      </c>
      <c r="K41" s="34">
        <v>0</v>
      </c>
      <c r="L41" s="35">
        <v>0</v>
      </c>
      <c r="M41" s="28">
        <f t="shared" si="7"/>
        <v>0</v>
      </c>
      <c r="N41" s="28">
        <v>0</v>
      </c>
      <c r="O41" s="35">
        <v>0</v>
      </c>
      <c r="P41" s="28">
        <f t="shared" si="8"/>
        <v>0</v>
      </c>
      <c r="Q41" s="32">
        <v>254570.45</v>
      </c>
    </row>
    <row r="42" spans="1:17" ht="65.25" customHeight="1">
      <c r="A42" s="26" t="s">
        <v>41</v>
      </c>
      <c r="B42" s="33" t="s">
        <v>82</v>
      </c>
      <c r="C42" s="34">
        <f t="shared" si="9"/>
        <v>99255.7</v>
      </c>
      <c r="D42" s="34">
        <f t="shared" si="9"/>
        <v>99255.7</v>
      </c>
      <c r="E42" s="34">
        <f t="shared" si="9"/>
        <v>90698.29999999999</v>
      </c>
      <c r="F42" s="35">
        <v>47458</v>
      </c>
      <c r="G42" s="28">
        <f t="shared" si="5"/>
        <v>47458</v>
      </c>
      <c r="H42" s="28">
        <v>17037.6</v>
      </c>
      <c r="I42" s="35">
        <f>82357.7-47458</f>
        <v>34899.7</v>
      </c>
      <c r="J42" s="28">
        <f t="shared" si="6"/>
        <v>34899.7</v>
      </c>
      <c r="K42" s="34">
        <v>19126.8</v>
      </c>
      <c r="L42" s="35">
        <f>99255.7-82357.7</f>
        <v>16898</v>
      </c>
      <c r="M42" s="28">
        <f t="shared" si="7"/>
        <v>16898</v>
      </c>
      <c r="N42" s="28">
        <v>34212.5</v>
      </c>
      <c r="O42" s="35">
        <v>0</v>
      </c>
      <c r="P42" s="28">
        <f t="shared" si="8"/>
        <v>0</v>
      </c>
      <c r="Q42" s="32">
        <v>20321.4</v>
      </c>
    </row>
    <row r="43" spans="1:17" ht="50.25" customHeight="1">
      <c r="A43" s="26" t="s">
        <v>49</v>
      </c>
      <c r="B43" s="33" t="s">
        <v>56</v>
      </c>
      <c r="C43" s="34">
        <f t="shared" si="9"/>
        <v>258476.4</v>
      </c>
      <c r="D43" s="34">
        <f t="shared" si="9"/>
        <v>258476.4</v>
      </c>
      <c r="E43" s="34">
        <f t="shared" si="9"/>
        <v>168928.07</v>
      </c>
      <c r="F43" s="35">
        <v>64619.1</v>
      </c>
      <c r="G43" s="28">
        <f t="shared" si="5"/>
        <v>64619.1</v>
      </c>
      <c r="H43" s="28">
        <v>35819.35</v>
      </c>
      <c r="I43" s="35">
        <f>129238.2-64619.1</f>
        <v>64619.1</v>
      </c>
      <c r="J43" s="28">
        <f t="shared" si="6"/>
        <v>64619.1</v>
      </c>
      <c r="K43" s="34">
        <v>72187.02</v>
      </c>
      <c r="L43" s="35">
        <f>193857.3-129238.2</f>
        <v>64619.09999999999</v>
      </c>
      <c r="M43" s="28">
        <f t="shared" si="7"/>
        <v>64619.09999999999</v>
      </c>
      <c r="N43" s="28">
        <v>36914.89</v>
      </c>
      <c r="O43" s="35">
        <f>258476.4-193857.3</f>
        <v>64619.100000000006</v>
      </c>
      <c r="P43" s="28">
        <f t="shared" si="8"/>
        <v>64619.100000000006</v>
      </c>
      <c r="Q43" s="32">
        <v>24006.81</v>
      </c>
    </row>
    <row r="44" spans="1:17" ht="67.5" customHeight="1">
      <c r="A44" s="26" t="s">
        <v>42</v>
      </c>
      <c r="B44" s="33" t="s">
        <v>83</v>
      </c>
      <c r="C44" s="34">
        <f t="shared" si="9"/>
        <v>5917.5</v>
      </c>
      <c r="D44" s="34">
        <f t="shared" si="9"/>
        <v>5917.5</v>
      </c>
      <c r="E44" s="34">
        <f t="shared" si="9"/>
        <v>0</v>
      </c>
      <c r="F44" s="35">
        <v>5917.5</v>
      </c>
      <c r="G44" s="28">
        <f t="shared" si="5"/>
        <v>5917.5</v>
      </c>
      <c r="H44" s="28">
        <v>0</v>
      </c>
      <c r="I44" s="35">
        <v>0</v>
      </c>
      <c r="J44" s="28">
        <f t="shared" si="6"/>
        <v>0</v>
      </c>
      <c r="K44" s="34">
        <v>0</v>
      </c>
      <c r="L44" s="35">
        <v>0</v>
      </c>
      <c r="M44" s="28">
        <f t="shared" si="7"/>
        <v>0</v>
      </c>
      <c r="N44" s="28"/>
      <c r="O44" s="35">
        <v>0</v>
      </c>
      <c r="P44" s="28">
        <f t="shared" si="8"/>
        <v>0</v>
      </c>
      <c r="Q44" s="32">
        <v>0</v>
      </c>
    </row>
    <row r="45" spans="1:17" ht="58.5" customHeight="1">
      <c r="A45" s="26" t="s">
        <v>64</v>
      </c>
      <c r="B45" s="33" t="s">
        <v>84</v>
      </c>
      <c r="C45" s="34">
        <f t="shared" si="9"/>
        <v>1232172.7</v>
      </c>
      <c r="D45" s="34">
        <f t="shared" si="9"/>
        <v>1232172.7</v>
      </c>
      <c r="E45" s="34">
        <f t="shared" si="9"/>
        <v>1326005</v>
      </c>
      <c r="F45" s="35">
        <v>313268.4</v>
      </c>
      <c r="G45" s="28">
        <f t="shared" si="5"/>
        <v>313268.4</v>
      </c>
      <c r="H45" s="28">
        <v>899537</v>
      </c>
      <c r="I45" s="35">
        <f>567503.1-313268.4</f>
        <v>254234.69999999995</v>
      </c>
      <c r="J45" s="28">
        <f t="shared" si="6"/>
        <v>254234.69999999995</v>
      </c>
      <c r="K45" s="34">
        <v>0</v>
      </c>
      <c r="L45" s="35">
        <f>1215052.7-567503.1</f>
        <v>647549.6</v>
      </c>
      <c r="M45" s="28">
        <f t="shared" si="7"/>
        <v>647549.6</v>
      </c>
      <c r="N45" s="28">
        <v>342405</v>
      </c>
      <c r="O45" s="35">
        <f>1232172.7-1215052.7</f>
        <v>17120</v>
      </c>
      <c r="P45" s="28">
        <f t="shared" si="8"/>
        <v>17120</v>
      </c>
      <c r="Q45" s="32">
        <v>84063</v>
      </c>
    </row>
    <row r="46" spans="1:17" ht="57.75" customHeight="1">
      <c r="A46" s="26" t="s">
        <v>59</v>
      </c>
      <c r="B46" s="33" t="s">
        <v>85</v>
      </c>
      <c r="C46" s="34">
        <f t="shared" si="9"/>
        <v>658754.6</v>
      </c>
      <c r="D46" s="34">
        <f t="shared" si="9"/>
        <v>658754.6</v>
      </c>
      <c r="E46" s="34">
        <f t="shared" si="9"/>
        <v>535829.6</v>
      </c>
      <c r="F46" s="35">
        <v>224816</v>
      </c>
      <c r="G46" s="28">
        <f t="shared" si="5"/>
        <v>224816</v>
      </c>
      <c r="H46" s="28">
        <v>375183.1</v>
      </c>
      <c r="I46" s="35">
        <f>517937.7-224816</f>
        <v>293121.7</v>
      </c>
      <c r="J46" s="28">
        <f t="shared" si="6"/>
        <v>293121.7</v>
      </c>
      <c r="K46" s="34">
        <v>0</v>
      </c>
      <c r="L46" s="35">
        <f>649967-517937.7</f>
        <v>132029.3</v>
      </c>
      <c r="M46" s="28">
        <f t="shared" si="7"/>
        <v>132029.3</v>
      </c>
      <c r="N46" s="28">
        <v>76393</v>
      </c>
      <c r="O46" s="35">
        <f>658754.6-649967</f>
        <v>8787.599999999977</v>
      </c>
      <c r="P46" s="28">
        <f t="shared" si="8"/>
        <v>8787.599999999977</v>
      </c>
      <c r="Q46" s="32">
        <v>84253.5</v>
      </c>
    </row>
    <row r="47" spans="1:17" ht="103.5" customHeight="1">
      <c r="A47" s="26" t="s">
        <v>60</v>
      </c>
      <c r="B47" s="33" t="s">
        <v>86</v>
      </c>
      <c r="C47" s="34">
        <f>F47+I47+L47+O47</f>
        <v>30632.8</v>
      </c>
      <c r="D47" s="34">
        <f t="shared" si="9"/>
        <v>30632.8</v>
      </c>
      <c r="E47" s="34">
        <f>H47+K47+N47+Q47</f>
        <v>13474.7</v>
      </c>
      <c r="F47" s="35">
        <v>21431.3</v>
      </c>
      <c r="G47" s="28">
        <f t="shared" si="5"/>
        <v>21431.3</v>
      </c>
      <c r="H47" s="34">
        <v>0</v>
      </c>
      <c r="I47" s="35">
        <f>30632.8-21431.3</f>
        <v>9201.5</v>
      </c>
      <c r="J47" s="28">
        <f t="shared" si="6"/>
        <v>9201.5</v>
      </c>
      <c r="K47" s="34">
        <v>0</v>
      </c>
      <c r="L47" s="35">
        <v>0</v>
      </c>
      <c r="M47" s="28">
        <f t="shared" si="7"/>
        <v>0</v>
      </c>
      <c r="N47" s="28">
        <v>0</v>
      </c>
      <c r="O47" s="35">
        <v>0</v>
      </c>
      <c r="P47" s="28">
        <f t="shared" si="8"/>
        <v>0</v>
      </c>
      <c r="Q47" s="39">
        <v>13474.7</v>
      </c>
    </row>
    <row r="48" spans="1:17" ht="74.25" customHeight="1">
      <c r="A48" s="26" t="s">
        <v>61</v>
      </c>
      <c r="B48" s="33" t="s">
        <v>108</v>
      </c>
      <c r="C48" s="34">
        <f>F48+I48+L48+O48</f>
        <v>0</v>
      </c>
      <c r="D48" s="34">
        <f t="shared" si="9"/>
        <v>1916958.8</v>
      </c>
      <c r="E48" s="34">
        <f>H48+K48+N48+Q48</f>
        <v>0</v>
      </c>
      <c r="F48" s="35"/>
      <c r="G48" s="28">
        <v>1585374.2</v>
      </c>
      <c r="H48" s="34">
        <v>0</v>
      </c>
      <c r="I48" s="35"/>
      <c r="J48" s="28">
        <f>1916958.8-1585374.2</f>
        <v>331584.6000000001</v>
      </c>
      <c r="K48" s="34"/>
      <c r="L48" s="35"/>
      <c r="M48" s="28">
        <f>1916958.8-1916958.8</f>
        <v>0</v>
      </c>
      <c r="N48" s="28">
        <v>0</v>
      </c>
      <c r="O48" s="35"/>
      <c r="P48" s="28">
        <f>1916958.8-1916958.8</f>
        <v>0</v>
      </c>
      <c r="Q48" s="39"/>
    </row>
    <row r="49" spans="1:17" ht="67.5" customHeight="1">
      <c r="A49" s="26" t="s">
        <v>62</v>
      </c>
      <c r="B49" s="36" t="s">
        <v>126</v>
      </c>
      <c r="C49" s="34">
        <f>F49+I49+L49+O49</f>
        <v>0</v>
      </c>
      <c r="D49" s="34">
        <f aca="true" t="shared" si="10" ref="D49:E61">G49+J49+M49+P49</f>
        <v>3289082.8</v>
      </c>
      <c r="E49" s="34">
        <f>H49+K49+N49+Q49</f>
        <v>266056.3</v>
      </c>
      <c r="F49" s="35">
        <v>0</v>
      </c>
      <c r="G49" s="28">
        <v>67755.3</v>
      </c>
      <c r="H49" s="28">
        <v>0</v>
      </c>
      <c r="I49" s="35"/>
      <c r="J49" s="28">
        <f>1818622.2-67755.3</f>
        <v>1750866.9</v>
      </c>
      <c r="K49" s="28"/>
      <c r="L49" s="35"/>
      <c r="M49" s="28">
        <f>3289082.8-1818622.2</f>
        <v>1470460.5999999999</v>
      </c>
      <c r="N49" s="28">
        <v>266056.3</v>
      </c>
      <c r="O49" s="35"/>
      <c r="P49" s="28">
        <v>0</v>
      </c>
      <c r="Q49" s="38"/>
    </row>
    <row r="50" spans="1:17" ht="57" customHeight="1">
      <c r="A50" s="26" t="s">
        <v>100</v>
      </c>
      <c r="B50" s="33" t="s">
        <v>95</v>
      </c>
      <c r="C50" s="34">
        <f>F50+I50+L50+O50</f>
        <v>0</v>
      </c>
      <c r="D50" s="34">
        <f t="shared" si="10"/>
        <v>40994.1</v>
      </c>
      <c r="E50" s="34">
        <f>H50+K50+N50+Q50</f>
        <v>1896.1</v>
      </c>
      <c r="F50" s="35"/>
      <c r="G50" s="28">
        <v>35032.1</v>
      </c>
      <c r="H50" s="34">
        <v>0</v>
      </c>
      <c r="I50" s="35"/>
      <c r="J50" s="28">
        <f>40994.1-35032.1</f>
        <v>5962</v>
      </c>
      <c r="K50" s="34">
        <v>1896.1</v>
      </c>
      <c r="L50" s="35"/>
      <c r="M50" s="28">
        <f>40994.1-40994.1</f>
        <v>0</v>
      </c>
      <c r="N50" s="28">
        <v>0</v>
      </c>
      <c r="O50" s="35">
        <v>0</v>
      </c>
      <c r="P50" s="28">
        <f>40994.1-40994.1</f>
        <v>0</v>
      </c>
      <c r="Q50" s="32">
        <v>0</v>
      </c>
    </row>
    <row r="51" spans="1:17" ht="66.75" customHeight="1">
      <c r="A51" s="26" t="s">
        <v>63</v>
      </c>
      <c r="B51" s="33" t="s">
        <v>119</v>
      </c>
      <c r="C51" s="34">
        <f aca="true" t="shared" si="11" ref="C51:C57">F51+I51+L51+O51</f>
        <v>0</v>
      </c>
      <c r="D51" s="34">
        <f t="shared" si="10"/>
        <v>727.5</v>
      </c>
      <c r="E51" s="34">
        <f t="shared" si="10"/>
        <v>0</v>
      </c>
      <c r="F51" s="35"/>
      <c r="G51" s="28">
        <v>0</v>
      </c>
      <c r="H51" s="34">
        <v>0</v>
      </c>
      <c r="I51" s="35"/>
      <c r="J51" s="28">
        <v>727.5</v>
      </c>
      <c r="K51" s="34">
        <v>0</v>
      </c>
      <c r="L51" s="35"/>
      <c r="M51" s="28">
        <v>0</v>
      </c>
      <c r="N51" s="28">
        <v>0</v>
      </c>
      <c r="O51" s="35"/>
      <c r="P51" s="28">
        <v>0</v>
      </c>
      <c r="Q51" s="39">
        <v>0</v>
      </c>
    </row>
    <row r="52" spans="1:17" ht="71.25" customHeight="1">
      <c r="A52" s="26" t="s">
        <v>101</v>
      </c>
      <c r="B52" s="33" t="s">
        <v>118</v>
      </c>
      <c r="C52" s="34"/>
      <c r="D52" s="34">
        <f t="shared" si="10"/>
        <v>41256.5</v>
      </c>
      <c r="E52" s="34">
        <f t="shared" si="10"/>
        <v>21546.2</v>
      </c>
      <c r="F52" s="35"/>
      <c r="G52" s="28">
        <v>0</v>
      </c>
      <c r="H52" s="34">
        <v>0</v>
      </c>
      <c r="I52" s="35"/>
      <c r="J52" s="28">
        <v>22506.2</v>
      </c>
      <c r="K52" s="34">
        <v>7219.6</v>
      </c>
      <c r="L52" s="35"/>
      <c r="M52" s="28">
        <v>0</v>
      </c>
      <c r="N52" s="28">
        <v>0</v>
      </c>
      <c r="O52" s="35"/>
      <c r="P52" s="28">
        <v>18750.3</v>
      </c>
      <c r="Q52" s="39">
        <v>14326.6</v>
      </c>
    </row>
    <row r="53" spans="1:17" ht="72" customHeight="1">
      <c r="A53" s="26" t="s">
        <v>65</v>
      </c>
      <c r="B53" s="33" t="s">
        <v>120</v>
      </c>
      <c r="C53" s="34">
        <f t="shared" si="11"/>
        <v>0</v>
      </c>
      <c r="D53" s="34">
        <f t="shared" si="10"/>
        <v>54600</v>
      </c>
      <c r="E53" s="34">
        <f t="shared" si="10"/>
        <v>38636.5</v>
      </c>
      <c r="F53" s="35">
        <v>0</v>
      </c>
      <c r="G53" s="28"/>
      <c r="H53" s="34">
        <v>22205.8</v>
      </c>
      <c r="I53" s="35"/>
      <c r="J53" s="28">
        <v>54600</v>
      </c>
      <c r="K53" s="34">
        <v>16430.7</v>
      </c>
      <c r="L53" s="35"/>
      <c r="M53" s="28">
        <v>0</v>
      </c>
      <c r="N53" s="28">
        <v>0</v>
      </c>
      <c r="O53" s="35"/>
      <c r="P53" s="28">
        <v>0</v>
      </c>
      <c r="Q53" s="39">
        <v>0</v>
      </c>
    </row>
    <row r="54" spans="1:17" ht="67.5" customHeight="1">
      <c r="A54" s="26" t="s">
        <v>66</v>
      </c>
      <c r="B54" s="33" t="s">
        <v>127</v>
      </c>
      <c r="C54" s="34">
        <f t="shared" si="11"/>
        <v>0</v>
      </c>
      <c r="D54" s="34">
        <f t="shared" si="10"/>
        <v>0</v>
      </c>
      <c r="E54" s="34">
        <f t="shared" si="10"/>
        <v>40955.8</v>
      </c>
      <c r="F54" s="35">
        <v>0</v>
      </c>
      <c r="G54" s="28">
        <f>F54+0</f>
        <v>0</v>
      </c>
      <c r="H54" s="34">
        <v>40955.8</v>
      </c>
      <c r="I54" s="35"/>
      <c r="J54" s="28">
        <v>0</v>
      </c>
      <c r="K54" s="34">
        <v>0</v>
      </c>
      <c r="L54" s="35"/>
      <c r="M54" s="28">
        <v>0</v>
      </c>
      <c r="N54" s="28">
        <v>0</v>
      </c>
      <c r="O54" s="35"/>
      <c r="P54" s="34">
        <v>0</v>
      </c>
      <c r="Q54" s="39">
        <v>0</v>
      </c>
    </row>
    <row r="55" spans="1:17" ht="57.75" customHeight="1">
      <c r="A55" s="26" t="s">
        <v>87</v>
      </c>
      <c r="B55" s="33" t="s">
        <v>93</v>
      </c>
      <c r="C55" s="34">
        <f t="shared" si="11"/>
        <v>0</v>
      </c>
      <c r="D55" s="34">
        <f t="shared" si="10"/>
        <v>0</v>
      </c>
      <c r="E55" s="34">
        <f t="shared" si="10"/>
        <v>0</v>
      </c>
      <c r="F55" s="35">
        <v>0</v>
      </c>
      <c r="G55" s="28">
        <v>0</v>
      </c>
      <c r="H55" s="34">
        <v>0</v>
      </c>
      <c r="I55" s="35"/>
      <c r="J55" s="28">
        <v>0</v>
      </c>
      <c r="K55" s="34">
        <v>0</v>
      </c>
      <c r="L55" s="35"/>
      <c r="M55" s="28">
        <v>0</v>
      </c>
      <c r="N55" s="28">
        <v>0</v>
      </c>
      <c r="O55" s="35"/>
      <c r="P55" s="28"/>
      <c r="Q55" s="39"/>
    </row>
    <row r="56" spans="1:17" ht="60" customHeight="1">
      <c r="A56" s="26" t="s">
        <v>92</v>
      </c>
      <c r="B56" s="33" t="s">
        <v>124</v>
      </c>
      <c r="C56" s="34">
        <f t="shared" si="11"/>
        <v>0</v>
      </c>
      <c r="D56" s="34">
        <f t="shared" si="10"/>
        <v>134285.7</v>
      </c>
      <c r="E56" s="34">
        <f t="shared" si="10"/>
        <v>28153.9</v>
      </c>
      <c r="F56" s="35">
        <v>0</v>
      </c>
      <c r="G56" s="28">
        <v>0</v>
      </c>
      <c r="H56" s="34">
        <v>0</v>
      </c>
      <c r="I56" s="35">
        <v>0</v>
      </c>
      <c r="J56" s="28">
        <v>0</v>
      </c>
      <c r="K56" s="34">
        <v>0</v>
      </c>
      <c r="L56" s="35"/>
      <c r="M56" s="28">
        <v>0</v>
      </c>
      <c r="N56" s="28">
        <v>28153.9</v>
      </c>
      <c r="O56" s="35">
        <v>0</v>
      </c>
      <c r="P56" s="28">
        <v>134285.7</v>
      </c>
      <c r="Q56" s="39"/>
    </row>
    <row r="57" spans="1:17" ht="60" customHeight="1">
      <c r="A57" s="26" t="s">
        <v>88</v>
      </c>
      <c r="B57" s="33" t="s">
        <v>121</v>
      </c>
      <c r="C57" s="34">
        <f t="shared" si="11"/>
        <v>0</v>
      </c>
      <c r="D57" s="34">
        <f t="shared" si="10"/>
        <v>373543.2</v>
      </c>
      <c r="E57" s="34">
        <f t="shared" si="10"/>
        <v>246780.24</v>
      </c>
      <c r="F57" s="35">
        <v>0</v>
      </c>
      <c r="G57" s="28">
        <v>0</v>
      </c>
      <c r="H57" s="34">
        <v>0</v>
      </c>
      <c r="I57" s="35">
        <v>0</v>
      </c>
      <c r="J57" s="28">
        <v>337366</v>
      </c>
      <c r="K57" s="34">
        <v>0</v>
      </c>
      <c r="L57" s="35">
        <v>0</v>
      </c>
      <c r="M57" s="28">
        <f>367826.9-337366</f>
        <v>30460.900000000023</v>
      </c>
      <c r="N57" s="28">
        <v>246780.24</v>
      </c>
      <c r="O57" s="35">
        <v>0</v>
      </c>
      <c r="P57" s="28">
        <f>373543.2-367826.9</f>
        <v>5716.299999999988</v>
      </c>
      <c r="Q57" s="39"/>
    </row>
    <row r="58" spans="1:17" ht="78" customHeight="1">
      <c r="A58" s="26" t="s">
        <v>67</v>
      </c>
      <c r="B58" s="33" t="s">
        <v>117</v>
      </c>
      <c r="C58" s="34">
        <f>F58+I58+L58+O58</f>
        <v>0</v>
      </c>
      <c r="D58" s="34">
        <f t="shared" si="10"/>
        <v>36458.1</v>
      </c>
      <c r="E58" s="34">
        <f t="shared" si="10"/>
        <v>9018.3</v>
      </c>
      <c r="F58" s="34">
        <v>0</v>
      </c>
      <c r="G58" s="34">
        <v>0</v>
      </c>
      <c r="H58" s="34">
        <v>0</v>
      </c>
      <c r="I58" s="34">
        <f>L58+O58+R58+U58</f>
        <v>0</v>
      </c>
      <c r="J58" s="28">
        <v>22825</v>
      </c>
      <c r="K58" s="34">
        <v>4249.4</v>
      </c>
      <c r="L58" s="34">
        <f>O58+R58+U58+X58</f>
        <v>0</v>
      </c>
      <c r="M58" s="34">
        <v>13633.1</v>
      </c>
      <c r="N58" s="34">
        <v>0</v>
      </c>
      <c r="O58" s="34">
        <f>R58+U58+X58+AA58</f>
        <v>0</v>
      </c>
      <c r="P58" s="34">
        <f>S58+V58+Y58+AB58</f>
        <v>0</v>
      </c>
      <c r="Q58" s="40">
        <v>4768.9</v>
      </c>
    </row>
    <row r="59" spans="1:17" ht="78" customHeight="1">
      <c r="A59" s="26" t="s">
        <v>109</v>
      </c>
      <c r="B59" s="33" t="s">
        <v>116</v>
      </c>
      <c r="C59" s="34">
        <f>F59+I59+L59+O59</f>
        <v>0</v>
      </c>
      <c r="D59" s="34">
        <f t="shared" si="10"/>
        <v>31747.7</v>
      </c>
      <c r="E59" s="34">
        <f t="shared" si="10"/>
        <v>0</v>
      </c>
      <c r="F59" s="34"/>
      <c r="G59" s="34"/>
      <c r="H59" s="34"/>
      <c r="I59" s="34"/>
      <c r="J59" s="28"/>
      <c r="K59" s="34"/>
      <c r="L59" s="34"/>
      <c r="M59" s="34">
        <v>31747.7</v>
      </c>
      <c r="N59" s="34">
        <v>0</v>
      </c>
      <c r="O59" s="34"/>
      <c r="P59" s="34"/>
      <c r="Q59" s="40"/>
    </row>
    <row r="60" spans="1:17" ht="78" customHeight="1">
      <c r="A60" s="26" t="s">
        <v>110</v>
      </c>
      <c r="B60" s="33" t="s">
        <v>115</v>
      </c>
      <c r="C60" s="34">
        <f>F60+I60+L60+O60</f>
        <v>0</v>
      </c>
      <c r="D60" s="34">
        <f t="shared" si="10"/>
        <v>74999.5</v>
      </c>
      <c r="E60" s="34">
        <f t="shared" si="10"/>
        <v>0</v>
      </c>
      <c r="F60" s="34"/>
      <c r="G60" s="34"/>
      <c r="H60" s="34"/>
      <c r="I60" s="34"/>
      <c r="J60" s="28"/>
      <c r="K60" s="34"/>
      <c r="L60" s="34"/>
      <c r="M60" s="34">
        <v>74999.5</v>
      </c>
      <c r="N60" s="34">
        <v>0</v>
      </c>
      <c r="O60" s="34"/>
      <c r="P60" s="34"/>
      <c r="Q60" s="40"/>
    </row>
    <row r="61" spans="1:17" ht="87.75" customHeight="1">
      <c r="A61" s="26" t="s">
        <v>111</v>
      </c>
      <c r="B61" s="33" t="s">
        <v>114</v>
      </c>
      <c r="C61" s="34">
        <f>F61+I61+L61+O61</f>
        <v>513440</v>
      </c>
      <c r="D61" s="34">
        <f t="shared" si="10"/>
        <v>240213.5</v>
      </c>
      <c r="E61" s="34">
        <f t="shared" si="10"/>
        <v>228580.5</v>
      </c>
      <c r="F61" s="34"/>
      <c r="G61" s="34"/>
      <c r="H61" s="34"/>
      <c r="I61" s="34"/>
      <c r="J61" s="28"/>
      <c r="K61" s="34"/>
      <c r="L61" s="34"/>
      <c r="M61" s="34">
        <v>240213.5</v>
      </c>
      <c r="N61" s="34">
        <v>228580.5</v>
      </c>
      <c r="O61" s="34">
        <f>284860+228580</f>
        <v>513440</v>
      </c>
      <c r="P61" s="34">
        <v>0</v>
      </c>
      <c r="Q61" s="40"/>
    </row>
    <row r="62" spans="1:17" ht="32.25" customHeight="1">
      <c r="A62" s="68" t="s">
        <v>89</v>
      </c>
      <c r="B62" s="69"/>
      <c r="C62" s="13">
        <f>SUM(C63:C71)</f>
        <v>814248</v>
      </c>
      <c r="D62" s="13">
        <f>SUM(D63:D71)</f>
        <v>2546223.3000000003</v>
      </c>
      <c r="E62" s="13">
        <f aca="true" t="shared" si="12" ref="E62:Q62">SUM(E63:E71)</f>
        <v>2695137.21</v>
      </c>
      <c r="F62" s="13">
        <f t="shared" si="12"/>
        <v>207698.6</v>
      </c>
      <c r="G62" s="13">
        <f t="shared" si="12"/>
        <v>667718.9</v>
      </c>
      <c r="H62" s="13">
        <f t="shared" si="12"/>
        <v>213421.41999999998</v>
      </c>
      <c r="I62" s="13">
        <f t="shared" si="12"/>
        <v>415397.2</v>
      </c>
      <c r="J62" s="13">
        <f t="shared" si="12"/>
        <v>831909.2</v>
      </c>
      <c r="K62" s="13">
        <f t="shared" si="12"/>
        <v>485735.32999999996</v>
      </c>
      <c r="L62" s="13">
        <f t="shared" si="12"/>
        <v>191152.2</v>
      </c>
      <c r="M62" s="13">
        <f t="shared" si="12"/>
        <v>785629.5999999999</v>
      </c>
      <c r="N62" s="13">
        <f t="shared" si="12"/>
        <v>468082.58999999997</v>
      </c>
      <c r="O62" s="13">
        <f t="shared" si="12"/>
        <v>0</v>
      </c>
      <c r="P62" s="13">
        <f>SUM(P63:P71)</f>
        <v>260965.60000000003</v>
      </c>
      <c r="Q62" s="17">
        <f t="shared" si="12"/>
        <v>1527897.87</v>
      </c>
    </row>
    <row r="63" spans="1:17" ht="86.25" customHeight="1">
      <c r="A63" s="26" t="s">
        <v>25</v>
      </c>
      <c r="B63" s="33" t="s">
        <v>94</v>
      </c>
      <c r="C63" s="34">
        <f aca="true" t="shared" si="13" ref="C63:E71">F63+I63+L63+O63</f>
        <v>0</v>
      </c>
      <c r="D63" s="34">
        <f t="shared" si="13"/>
        <v>9276.8</v>
      </c>
      <c r="E63" s="34">
        <f t="shared" si="13"/>
        <v>9276.81</v>
      </c>
      <c r="F63" s="35">
        <v>0</v>
      </c>
      <c r="G63" s="28">
        <f>2519.2</f>
        <v>2519.2</v>
      </c>
      <c r="H63" s="34">
        <v>2888.25</v>
      </c>
      <c r="I63" s="35"/>
      <c r="J63" s="28">
        <v>2519.2</v>
      </c>
      <c r="K63" s="34">
        <v>2319.38</v>
      </c>
      <c r="L63" s="35"/>
      <c r="M63" s="28">
        <v>2519.2</v>
      </c>
      <c r="N63" s="28">
        <v>2789.38</v>
      </c>
      <c r="O63" s="35"/>
      <c r="P63" s="28">
        <v>1719.199999999999</v>
      </c>
      <c r="Q63" s="39">
        <v>1279.8</v>
      </c>
    </row>
    <row r="64" spans="1:17" ht="71.25" customHeight="1">
      <c r="A64" s="26" t="s">
        <v>26</v>
      </c>
      <c r="B64" s="33" t="s">
        <v>123</v>
      </c>
      <c r="C64" s="34">
        <f t="shared" si="13"/>
        <v>0</v>
      </c>
      <c r="D64" s="34">
        <f t="shared" si="13"/>
        <v>2470</v>
      </c>
      <c r="E64" s="34">
        <f t="shared" si="13"/>
        <v>0</v>
      </c>
      <c r="F64" s="35"/>
      <c r="G64" s="28">
        <v>0</v>
      </c>
      <c r="H64" s="34">
        <v>0</v>
      </c>
      <c r="I64" s="35"/>
      <c r="J64" s="28">
        <v>22758</v>
      </c>
      <c r="K64" s="34">
        <v>0</v>
      </c>
      <c r="L64" s="35"/>
      <c r="M64" s="28">
        <v>0</v>
      </c>
      <c r="N64" s="28">
        <v>0</v>
      </c>
      <c r="O64" s="35"/>
      <c r="P64" s="28">
        <v>-20288</v>
      </c>
      <c r="Q64" s="32">
        <v>0</v>
      </c>
    </row>
    <row r="65" spans="1:17" ht="69" customHeight="1">
      <c r="A65" s="26" t="s">
        <v>1</v>
      </c>
      <c r="B65" s="33" t="s">
        <v>73</v>
      </c>
      <c r="C65" s="34">
        <f>F65+I65+L65+O65</f>
        <v>0</v>
      </c>
      <c r="D65" s="34">
        <f>G65+J65+M65+P65</f>
        <v>204322.00000000003</v>
      </c>
      <c r="E65" s="34">
        <f>H65+K65+N65+Q65</f>
        <v>225330.00999999998</v>
      </c>
      <c r="F65" s="35">
        <v>0</v>
      </c>
      <c r="G65" s="28">
        <v>163206.7</v>
      </c>
      <c r="H65" s="34">
        <v>133834.83</v>
      </c>
      <c r="I65" s="35">
        <v>0</v>
      </c>
      <c r="J65" s="28">
        <v>22387.1</v>
      </c>
      <c r="K65" s="34">
        <v>82464</v>
      </c>
      <c r="L65" s="35"/>
      <c r="M65" s="28">
        <v>9957.6</v>
      </c>
      <c r="N65" s="28">
        <v>4990.61</v>
      </c>
      <c r="O65" s="35"/>
      <c r="P65" s="28">
        <v>8770.6</v>
      </c>
      <c r="Q65" s="32">
        <v>4040.57</v>
      </c>
    </row>
    <row r="66" spans="1:18" ht="84" customHeight="1">
      <c r="A66" s="26" t="s">
        <v>28</v>
      </c>
      <c r="B66" s="33" t="s">
        <v>96</v>
      </c>
      <c r="C66" s="34">
        <f t="shared" si="13"/>
        <v>0</v>
      </c>
      <c r="D66" s="34">
        <f t="shared" si="13"/>
        <v>781937.2000000001</v>
      </c>
      <c r="E66" s="34">
        <f>H66+K66+N66+Q66</f>
        <v>556896</v>
      </c>
      <c r="F66" s="35">
        <v>0</v>
      </c>
      <c r="G66" s="28">
        <v>127089.8</v>
      </c>
      <c r="H66" s="34">
        <v>74565</v>
      </c>
      <c r="I66" s="35">
        <v>0</v>
      </c>
      <c r="J66" s="28">
        <v>204391.9</v>
      </c>
      <c r="K66" s="34">
        <v>74565</v>
      </c>
      <c r="L66" s="35"/>
      <c r="M66" s="28">
        <v>351769.7</v>
      </c>
      <c r="N66" s="28">
        <v>302143</v>
      </c>
      <c r="O66" s="35"/>
      <c r="P66" s="28">
        <v>98685.8</v>
      </c>
      <c r="Q66" s="32">
        <v>105623</v>
      </c>
      <c r="R66" s="52"/>
    </row>
    <row r="67" spans="1:17" ht="66" customHeight="1">
      <c r="A67" s="26" t="s">
        <v>2</v>
      </c>
      <c r="B67" s="33" t="s">
        <v>97</v>
      </c>
      <c r="C67" s="34">
        <f t="shared" si="13"/>
        <v>0</v>
      </c>
      <c r="D67" s="34">
        <f t="shared" si="13"/>
        <v>100513.7</v>
      </c>
      <c r="E67" s="34">
        <f t="shared" si="13"/>
        <v>52607.69</v>
      </c>
      <c r="F67" s="35">
        <v>0</v>
      </c>
      <c r="G67" s="28">
        <v>36391.9</v>
      </c>
      <c r="H67" s="34">
        <v>2133.34</v>
      </c>
      <c r="I67" s="35"/>
      <c r="J67" s="28">
        <f>65057.8-36391.9</f>
        <v>28665.9</v>
      </c>
      <c r="K67" s="34">
        <f>29930.19-2133.34</f>
        <v>27796.85</v>
      </c>
      <c r="L67" s="35"/>
      <c r="M67" s="28">
        <f>100513.7-65057.8</f>
        <v>35455.899999999994</v>
      </c>
      <c r="N67" s="28">
        <v>22677.5</v>
      </c>
      <c r="O67" s="35"/>
      <c r="P67" s="28"/>
      <c r="Q67" s="32"/>
    </row>
    <row r="68" spans="1:17" ht="77.25" customHeight="1">
      <c r="A68" s="26" t="s">
        <v>3</v>
      </c>
      <c r="B68" s="33" t="s">
        <v>90</v>
      </c>
      <c r="C68" s="34">
        <f t="shared" si="13"/>
        <v>814248</v>
      </c>
      <c r="D68" s="34">
        <f t="shared" si="13"/>
        <v>814248.1000000001</v>
      </c>
      <c r="E68" s="34">
        <f t="shared" si="13"/>
        <v>745670.2</v>
      </c>
      <c r="F68" s="35">
        <v>207698.6</v>
      </c>
      <c r="G68" s="28">
        <f>F68+0</f>
        <v>207698.6</v>
      </c>
      <c r="H68" s="34">
        <v>0</v>
      </c>
      <c r="I68" s="35">
        <v>415397.2</v>
      </c>
      <c r="J68" s="28">
        <v>415397.2</v>
      </c>
      <c r="K68" s="34">
        <v>298590.1</v>
      </c>
      <c r="L68" s="35">
        <v>191152.2</v>
      </c>
      <c r="M68" s="28">
        <v>191152.3</v>
      </c>
      <c r="N68" s="28">
        <v>135482.1</v>
      </c>
      <c r="O68" s="35">
        <v>0</v>
      </c>
      <c r="P68" s="28"/>
      <c r="Q68" s="32">
        <v>311598</v>
      </c>
    </row>
    <row r="69" spans="1:17" ht="64.5" customHeight="1">
      <c r="A69" s="26" t="s">
        <v>4</v>
      </c>
      <c r="B69" s="33" t="s">
        <v>98</v>
      </c>
      <c r="C69" s="34">
        <f t="shared" si="13"/>
        <v>0</v>
      </c>
      <c r="D69" s="34">
        <f t="shared" si="13"/>
        <v>332938.5</v>
      </c>
      <c r="E69" s="34">
        <f t="shared" si="13"/>
        <v>0</v>
      </c>
      <c r="F69" s="35"/>
      <c r="G69" s="28">
        <v>130812.7</v>
      </c>
      <c r="H69" s="34"/>
      <c r="I69" s="35"/>
      <c r="J69" s="28">
        <v>67375.2</v>
      </c>
      <c r="K69" s="34">
        <v>0</v>
      </c>
      <c r="L69" s="35"/>
      <c r="M69" s="28">
        <f>'[1]Artab-2016'!AA103-'[1]Artab-2016'!R103</f>
        <v>67375.19999999998</v>
      </c>
      <c r="N69" s="28">
        <v>0</v>
      </c>
      <c r="O69" s="35"/>
      <c r="P69" s="28">
        <v>67375.40000000002</v>
      </c>
      <c r="Q69" s="32"/>
    </row>
    <row r="70" spans="1:17" ht="64.5" customHeight="1">
      <c r="A70" s="53" t="s">
        <v>5</v>
      </c>
      <c r="B70" s="54" t="s">
        <v>54</v>
      </c>
      <c r="C70" s="34">
        <f t="shared" si="13"/>
        <v>0</v>
      </c>
      <c r="D70" s="34">
        <f t="shared" si="13"/>
        <v>0</v>
      </c>
      <c r="E70" s="34">
        <f t="shared" si="13"/>
        <v>1105356.5</v>
      </c>
      <c r="F70" s="55"/>
      <c r="G70" s="56"/>
      <c r="H70" s="57"/>
      <c r="I70" s="55"/>
      <c r="J70" s="56"/>
      <c r="K70" s="57"/>
      <c r="L70" s="55"/>
      <c r="M70" s="56"/>
      <c r="N70" s="56"/>
      <c r="O70" s="55"/>
      <c r="P70" s="56">
        <v>0</v>
      </c>
      <c r="Q70" s="58">
        <v>1105356.5</v>
      </c>
    </row>
    <row r="71" spans="1:17" ht="64.5" customHeight="1" thickBot="1">
      <c r="A71" s="41" t="s">
        <v>6</v>
      </c>
      <c r="B71" s="42" t="s">
        <v>103</v>
      </c>
      <c r="C71" s="43">
        <f t="shared" si="13"/>
        <v>0</v>
      </c>
      <c r="D71" s="43">
        <f t="shared" si="13"/>
        <v>300517</v>
      </c>
      <c r="E71" s="43">
        <f t="shared" si="13"/>
        <v>0</v>
      </c>
      <c r="F71" s="44"/>
      <c r="G71" s="45">
        <v>0</v>
      </c>
      <c r="H71" s="43">
        <v>0</v>
      </c>
      <c r="I71" s="44"/>
      <c r="J71" s="45">
        <v>68414.7</v>
      </c>
      <c r="K71" s="43">
        <v>0</v>
      </c>
      <c r="L71" s="44"/>
      <c r="M71" s="45">
        <v>127399.7</v>
      </c>
      <c r="N71" s="45">
        <v>0</v>
      </c>
      <c r="O71" s="44"/>
      <c r="P71" s="45">
        <v>104702.6</v>
      </c>
      <c r="Q71" s="46"/>
    </row>
    <row r="72" spans="1:17" ht="21.75" customHeight="1">
      <c r="A72" s="3"/>
      <c r="B72" s="19" t="s">
        <v>106</v>
      </c>
      <c r="C72" s="20"/>
      <c r="D72" s="20"/>
      <c r="E72" s="19"/>
      <c r="F72" s="21"/>
      <c r="G72" s="21"/>
      <c r="H72" s="21"/>
      <c r="I72" s="21"/>
      <c r="J72" s="21"/>
      <c r="K72" s="21"/>
      <c r="L72" s="21"/>
      <c r="M72" s="21"/>
      <c r="N72" s="21"/>
      <c r="O72" s="22"/>
      <c r="P72" s="23"/>
      <c r="Q72" s="3"/>
    </row>
    <row r="73" spans="1:17" ht="20.25">
      <c r="A73" s="3"/>
      <c r="B73" s="19" t="s">
        <v>107</v>
      </c>
      <c r="C73" s="20"/>
      <c r="D73" s="20"/>
      <c r="E73" s="20"/>
      <c r="F73" s="21"/>
      <c r="G73" s="21"/>
      <c r="H73" s="21"/>
      <c r="I73" s="21"/>
      <c r="J73" s="24"/>
      <c r="K73" s="24"/>
      <c r="L73" s="24"/>
      <c r="M73" s="24"/>
      <c r="N73" s="24"/>
      <c r="O73" s="24"/>
      <c r="P73" s="23"/>
      <c r="Q73" s="3"/>
    </row>
    <row r="74" ht="38.25" customHeight="1"/>
    <row r="75" ht="18.75">
      <c r="B75" s="25" t="s">
        <v>99</v>
      </c>
    </row>
    <row r="76" ht="24.75" customHeight="1">
      <c r="B76" s="25" t="s">
        <v>112</v>
      </c>
    </row>
    <row r="77" ht="18.75">
      <c r="B77" s="25" t="s">
        <v>104</v>
      </c>
    </row>
    <row r="78" ht="18.75">
      <c r="B78" s="61" t="s">
        <v>128</v>
      </c>
    </row>
    <row r="79" ht="18.75">
      <c r="B79" s="61" t="s">
        <v>129</v>
      </c>
    </row>
    <row r="80" ht="18.75">
      <c r="B80" s="61" t="s">
        <v>130</v>
      </c>
    </row>
    <row r="81" ht="18.75">
      <c r="B81" s="61" t="s">
        <v>131</v>
      </c>
    </row>
    <row r="82" spans="2:5" ht="18.75">
      <c r="B82" s="61" t="s">
        <v>132</v>
      </c>
      <c r="D82" s="59"/>
      <c r="E82" s="60"/>
    </row>
    <row r="93" ht="17.25" customHeight="1"/>
    <row r="94" ht="18.75" hidden="1"/>
    <row r="95" ht="18.75" hidden="1"/>
    <row r="96" ht="18.75" hidden="1"/>
    <row r="97" ht="18.75" hidden="1"/>
    <row r="98" ht="18.75" hidden="1"/>
    <row r="99" ht="18.75" hidden="1">
      <c r="D99" s="59">
        <f>46914.2+131223.1+234144.8+25768.4</f>
        <v>438050.5</v>
      </c>
    </row>
    <row r="100" ht="18.75" hidden="1"/>
    <row r="101" ht="18.75" hidden="1"/>
  </sheetData>
  <sheetProtection/>
  <mergeCells count="13">
    <mergeCell ref="A62:B62"/>
    <mergeCell ref="A14:B14"/>
    <mergeCell ref="L5:N5"/>
    <mergeCell ref="O5:Q5"/>
    <mergeCell ref="A7:B7"/>
    <mergeCell ref="A8:B8"/>
    <mergeCell ref="A15:B15"/>
    <mergeCell ref="B1:O1"/>
    <mergeCell ref="B2:O2"/>
    <mergeCell ref="A5:B6"/>
    <mergeCell ref="C5:E5"/>
    <mergeCell ref="F5:H5"/>
    <mergeCell ref="I5:K5"/>
  </mergeCells>
  <printOptions/>
  <pageMargins left="0.16" right="0.16" top="0.23" bottom="0.16" header="0.26" footer="0.16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Anna Vanyan</cp:lastModifiedBy>
  <cp:lastPrinted>2017-02-10T11:33:43Z</cp:lastPrinted>
  <dcterms:created xsi:type="dcterms:W3CDTF">1996-10-14T23:33:28Z</dcterms:created>
  <dcterms:modified xsi:type="dcterms:W3CDTF">2017-02-14T14:03:12Z</dcterms:modified>
  <cp:category/>
  <cp:version/>
  <cp:contentType/>
  <cp:contentStatus/>
</cp:coreProperties>
</file>