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N:\obligation\Share\229\Ashxatanqain\Ջանջուղազյան և Զարգարյան\Հրապարակման\2025\"/>
    </mc:Choice>
  </mc:AlternateContent>
  <bookViews>
    <workbookView xWindow="0" yWindow="0" windowWidth="28800" windowHeight="11205" firstSheet="1" activeTab="4"/>
  </bookViews>
  <sheets>
    <sheet name="դեկտեմբեր2023" sheetId="26" state="hidden" r:id="rId1"/>
    <sheet name="հունվար" sheetId="40" r:id="rId2"/>
    <sheet name="փետրվոր" sheetId="41" r:id="rId3"/>
    <sheet name="մարտ" sheetId="42" r:id="rId4"/>
    <sheet name="ապրիլ" sheetId="43" r:id="rId5"/>
  </sheets>
  <externalReferences>
    <externalReference r:id="rId6"/>
    <externalReference r:id="rId7"/>
  </externalReferences>
  <definedNames>
    <definedName name="_xlnm._FilterDatabase" localSheetId="4" hidden="1">ապրիլ!$A$4:$AIX$157</definedName>
    <definedName name="_xlnm._FilterDatabase" localSheetId="1" hidden="1">հունվար!$A$4:$AIW$156</definedName>
    <definedName name="_xlnm._FilterDatabase" localSheetId="3" hidden="1">մարտ!$A$4:$AIW$156</definedName>
    <definedName name="_xlnm._FilterDatabase" localSheetId="2" hidden="1">փետրվոր!$A$4:$AIW$156</definedName>
    <definedName name="aaa" localSheetId="4">#REF!</definedName>
    <definedName name="aaa" localSheetId="0">#REF!</definedName>
    <definedName name="aaa" localSheetId="1">#REF!</definedName>
    <definedName name="aaa" localSheetId="3">#REF!</definedName>
    <definedName name="aaa" localSheetId="2">#REF!</definedName>
    <definedName name="aaa">#REF!</definedName>
    <definedName name="aaaa" localSheetId="4">#REF!</definedName>
    <definedName name="aaaa" localSheetId="1">#REF!</definedName>
    <definedName name="aaaa" localSheetId="3">#REF!</definedName>
    <definedName name="aaaa" localSheetId="2">#REF!</definedName>
    <definedName name="aaaa">#REF!</definedName>
    <definedName name="ap8il1" localSheetId="4">#REF!</definedName>
    <definedName name="ap8il1" localSheetId="1">#REF!</definedName>
    <definedName name="ap8il1" localSheetId="3">#REF!</definedName>
    <definedName name="ap8il1" localSheetId="2">#REF!</definedName>
    <definedName name="ap8il1">#REF!</definedName>
    <definedName name="april" localSheetId="4">#REF!</definedName>
    <definedName name="april" localSheetId="1">#REF!</definedName>
    <definedName name="april" localSheetId="3">#REF!</definedName>
    <definedName name="april" localSheetId="2">#REF!</definedName>
    <definedName name="april">#REF!</definedName>
    <definedName name="fgd" localSheetId="4">#REF!</definedName>
    <definedName name="fgd" localSheetId="1">#REF!</definedName>
    <definedName name="fgd" localSheetId="3">#REF!</definedName>
    <definedName name="fgd" localSheetId="2">#REF!</definedName>
    <definedName name="fgd">#REF!</definedName>
    <definedName name="fhyj" localSheetId="4">#REF!</definedName>
    <definedName name="fhyj" localSheetId="1">#REF!</definedName>
    <definedName name="fhyj" localSheetId="3">#REF!</definedName>
    <definedName name="fhyj" localSheetId="2">#REF!</definedName>
    <definedName name="fhyj">#REF!</definedName>
    <definedName name="fhyj1" localSheetId="4">#REF!</definedName>
    <definedName name="fhyj1" localSheetId="1">#REF!</definedName>
    <definedName name="fhyj1" localSheetId="3">#REF!</definedName>
    <definedName name="fhyj1" localSheetId="2">#REF!</definedName>
    <definedName name="fhyj1">#REF!</definedName>
    <definedName name="ggg" localSheetId="4">#REF!</definedName>
    <definedName name="ggg" localSheetId="0">#REF!</definedName>
    <definedName name="ggg" localSheetId="1">#REF!</definedName>
    <definedName name="ggg" localSheetId="3">#REF!</definedName>
    <definedName name="ggg" localSheetId="2">#REF!</definedName>
    <definedName name="ggg">#REF!</definedName>
    <definedName name="hjf" localSheetId="4">#REF!</definedName>
    <definedName name="hjf" localSheetId="0">#REF!</definedName>
    <definedName name="hjf" localSheetId="1">#REF!</definedName>
    <definedName name="hjf" localSheetId="3">#REF!</definedName>
    <definedName name="hjf" localSheetId="2">#REF!</definedName>
    <definedName name="hjf">#REF!</definedName>
    <definedName name="Hulios1" localSheetId="4">#REF!</definedName>
    <definedName name="Hulios1" localSheetId="1">#REF!</definedName>
    <definedName name="Hulios1" localSheetId="3">#REF!</definedName>
    <definedName name="Hulios1" localSheetId="2">#REF!</definedName>
    <definedName name="Hulios1">#REF!</definedName>
    <definedName name="hulis" localSheetId="4">#REF!</definedName>
    <definedName name="hulis" localSheetId="1">#REF!</definedName>
    <definedName name="hulis" localSheetId="3">#REF!</definedName>
    <definedName name="hulis" localSheetId="2">#REF!</definedName>
    <definedName name="hulis">#REF!</definedName>
    <definedName name="hunvar" localSheetId="4">#REF!</definedName>
    <definedName name="hunvar" localSheetId="1">#REF!</definedName>
    <definedName name="hunvar" localSheetId="3">#REF!</definedName>
    <definedName name="hunvar" localSheetId="2">#REF!</definedName>
    <definedName name="hunvar">#REF!</definedName>
    <definedName name="kkk" localSheetId="4">#REF!</definedName>
    <definedName name="kkk" localSheetId="1">#REF!</definedName>
    <definedName name="kkk" localSheetId="3">#REF!</definedName>
    <definedName name="kkk" localSheetId="2">#REF!</definedName>
    <definedName name="kkk">#REF!</definedName>
    <definedName name="Lus" localSheetId="4">#REF!</definedName>
    <definedName name="Lus" localSheetId="0">#REF!</definedName>
    <definedName name="Lus" localSheetId="1">#REF!</definedName>
    <definedName name="Lus" localSheetId="3">#REF!</definedName>
    <definedName name="Lus" localSheetId="2">#REF!</definedName>
    <definedName name="Lus">#REF!</definedName>
    <definedName name="Lusine" localSheetId="4">#REF!</definedName>
    <definedName name="Lusine" localSheetId="0">#REF!</definedName>
    <definedName name="Lusine" localSheetId="1">#REF!</definedName>
    <definedName name="Lusine" localSheetId="3">#REF!</definedName>
    <definedName name="Lusine" localSheetId="2">#REF!</definedName>
    <definedName name="Lusine">#REF!</definedName>
    <definedName name="Lusine1" localSheetId="4">#REF!</definedName>
    <definedName name="Lusine1" localSheetId="0">#REF!</definedName>
    <definedName name="Lusine1" localSheetId="1">#REF!</definedName>
    <definedName name="Lusine1" localSheetId="3">#REF!</definedName>
    <definedName name="Lusine1" localSheetId="2">#REF!</definedName>
    <definedName name="Lusine1">#REF!</definedName>
    <definedName name="petrvar" localSheetId="4">#REF!</definedName>
    <definedName name="petrvar" localSheetId="1">#REF!</definedName>
    <definedName name="petrvar" localSheetId="3">#REF!</definedName>
    <definedName name="petrvar" localSheetId="2">#REF!</definedName>
    <definedName name="petrvar">#REF!</definedName>
    <definedName name="rrr" localSheetId="4">#REF!</definedName>
    <definedName name="rrr" localSheetId="1">#REF!</definedName>
    <definedName name="rrr" localSheetId="3">#REF!</definedName>
    <definedName name="rrr" localSheetId="2">#REF!</definedName>
    <definedName name="rrr">#REF!</definedName>
    <definedName name="Table1" localSheetId="4">#REF!</definedName>
    <definedName name="Table1" localSheetId="0">#REF!</definedName>
    <definedName name="Table1" localSheetId="1">#REF!</definedName>
    <definedName name="Table1" localSheetId="3">#REF!</definedName>
    <definedName name="Table1" localSheetId="2">#REF!</definedName>
    <definedName name="Table1">#REF!</definedName>
    <definedName name="Table2" localSheetId="4">#REF!</definedName>
    <definedName name="Table2" localSheetId="0">#REF!</definedName>
    <definedName name="Table2" localSheetId="1">#REF!</definedName>
    <definedName name="Table2" localSheetId="3">#REF!</definedName>
    <definedName name="Table2" localSheetId="2">#REF!</definedName>
    <definedName name="Table2">#REF!</definedName>
    <definedName name="uuu" localSheetId="4">#REF!</definedName>
    <definedName name="uuu" localSheetId="1">#REF!</definedName>
    <definedName name="uuu" localSheetId="3">#REF!</definedName>
    <definedName name="uuu" localSheetId="2">#REF!</definedName>
    <definedName name="uuu">#REF!</definedName>
    <definedName name="vff" localSheetId="4">#REF!</definedName>
    <definedName name="vff" localSheetId="1">#REF!</definedName>
    <definedName name="vff" localSheetId="3">#REF!</definedName>
    <definedName name="vff" localSheetId="2">#REF!</definedName>
    <definedName name="vff">#REF!</definedName>
    <definedName name="ամառ" localSheetId="4">#REF!</definedName>
    <definedName name="ամառ" localSheetId="0">#REF!</definedName>
    <definedName name="ամառ" localSheetId="1">#REF!</definedName>
    <definedName name="ամառ" localSheetId="3">#REF!</definedName>
    <definedName name="ամառ" localSheetId="2">#REF!</definedName>
    <definedName name="ամառ">#REF!</definedName>
    <definedName name="ապրիլ" localSheetId="4">#REF!</definedName>
    <definedName name="ապրիլ" localSheetId="0">#REF!</definedName>
    <definedName name="ապրիլ" localSheetId="1">#REF!</definedName>
    <definedName name="ապրիլ" localSheetId="3">#REF!</definedName>
    <definedName name="ապրիլ" localSheetId="2">#REF!</definedName>
    <definedName name="ապրիլ">#REF!</definedName>
    <definedName name="եեեե" localSheetId="4">#REF!</definedName>
    <definedName name="եեեե" localSheetId="1">#REF!</definedName>
    <definedName name="եեեե" localSheetId="3">#REF!</definedName>
    <definedName name="եեեե" localSheetId="2">#REF!</definedName>
    <definedName name="եեեե">#REF!</definedName>
    <definedName name="լուսինե" localSheetId="4">#REF!</definedName>
    <definedName name="լուսինե" localSheetId="1">#REF!</definedName>
    <definedName name="լուսինե" localSheetId="3">#REF!</definedName>
    <definedName name="լուսինե" localSheetId="2">#REF!</definedName>
    <definedName name="լուսինե">#REF!</definedName>
    <definedName name="հդհդհ" localSheetId="4">#REF!</definedName>
    <definedName name="հդհդհ" localSheetId="1">#REF!</definedName>
    <definedName name="հդհդհ" localSheetId="3">#REF!</definedName>
    <definedName name="հդհդհ" localSheetId="2">#REF!</definedName>
    <definedName name="հդհդհ">#REF!</definedName>
    <definedName name="հուլիս" localSheetId="4">#REF!</definedName>
    <definedName name="հուլիս" localSheetId="0">#REF!</definedName>
    <definedName name="հուլիս" localSheetId="1">#REF!</definedName>
    <definedName name="հուլիս" localSheetId="3">#REF!</definedName>
    <definedName name="հուլիս" localSheetId="2">#REF!</definedName>
    <definedName name="հուլիս">#REF!</definedName>
    <definedName name="հունիս" localSheetId="4">#REF!</definedName>
    <definedName name="հունիս" localSheetId="0">#REF!</definedName>
    <definedName name="հունիս" localSheetId="1">#REF!</definedName>
    <definedName name="հունիս" localSheetId="3">#REF!</definedName>
    <definedName name="հունիս" localSheetId="2">#REF!</definedName>
    <definedName name="հունիս">#REF!</definedName>
    <definedName name="հֆգյֆ" localSheetId="4">#REF!</definedName>
    <definedName name="հֆգյֆ" localSheetId="0">#REF!</definedName>
    <definedName name="հֆգյֆ" localSheetId="1">#REF!</definedName>
    <definedName name="հֆգյֆ" localSheetId="3">#REF!</definedName>
    <definedName name="հֆգյֆ" localSheetId="2">#REF!</definedName>
    <definedName name="հֆգյֆ">#REF!</definedName>
    <definedName name="ձմեռ" localSheetId="4">#REF!</definedName>
    <definedName name="ձմեռ" localSheetId="1">#REF!</definedName>
    <definedName name="ձմեռ" localSheetId="3">#REF!</definedName>
    <definedName name="ձմեռ" localSheetId="2">#REF!</definedName>
    <definedName name="ձմեռ">#REF!</definedName>
    <definedName name="նոյեմբեր4" localSheetId="4">#REF!</definedName>
    <definedName name="նոյեմբեր4" localSheetId="0">#REF!</definedName>
    <definedName name="նոյեմբեր4" localSheetId="1">#REF!</definedName>
    <definedName name="նոյեմբեր4" localSheetId="3">#REF!</definedName>
    <definedName name="նոյեմբեր4" localSheetId="2">#REF!</definedName>
    <definedName name="նոյեմբեր4">#REF!</definedName>
    <definedName name="սեպտեմբեր" localSheetId="4">#REF!</definedName>
    <definedName name="սեպտեմբեր" localSheetId="0">#REF!</definedName>
    <definedName name="սեպտեմբեր" localSheetId="1">#REF!</definedName>
    <definedName name="սեպտեմբեր" localSheetId="3">#REF!</definedName>
    <definedName name="սեպտեմբեր" localSheetId="2">#REF!</definedName>
    <definedName name="սեպտեմբեր">#REF!</definedName>
    <definedName name="օգոտոս" localSheetId="4">#REF!</definedName>
    <definedName name="օգոտոս" localSheetId="1">#REF!</definedName>
    <definedName name="օգոտոս" localSheetId="3">#REF!</definedName>
    <definedName name="օգոտոս" localSheetId="2">#REF!</definedName>
    <definedName name="օգոտոս">#REF!</definedName>
    <definedName name="օգօստօս" localSheetId="4">#REF!</definedName>
    <definedName name="օգօստօս" localSheetId="0">#REF!</definedName>
    <definedName name="օգօստօս" localSheetId="1">#REF!</definedName>
    <definedName name="օգօստօս" localSheetId="3">#REF!</definedName>
    <definedName name="օգօստօս" localSheetId="2">#REF!</definedName>
    <definedName name="օգօստօս">#REF!</definedName>
  </definedNames>
  <calcPr calcId="162913" iterate="1"/>
  <customWorkbookViews>
    <customWorkbookView name="Lusine Grigoryan - Personal View" guid="{4CEBA9DC-1F71-4AEC-B56C-2888F9D9F6A5}" mergeInterval="0" personalView="1" maximized="1" xWindow="-8" yWindow="-8" windowWidth="1936" windowHeight="1056" activeSheetId="12"/>
  </customWorkbookViews>
</workbook>
</file>

<file path=xl/calcChain.xml><?xml version="1.0" encoding="utf-8"?>
<calcChain xmlns="http://schemas.openxmlformats.org/spreadsheetml/2006/main">
  <c r="K81" i="43" l="1"/>
  <c r="K20" i="43" l="1"/>
  <c r="K10" i="43" l="1"/>
  <c r="O70" i="43" l="1"/>
  <c r="N70" i="43"/>
  <c r="O78" i="43" l="1"/>
  <c r="N78" i="43"/>
  <c r="O95" i="43" l="1"/>
  <c r="N95" i="43"/>
  <c r="O96" i="43"/>
  <c r="N66" i="43" l="1"/>
  <c r="P66" i="43" s="1"/>
  <c r="O66" i="43"/>
  <c r="P84" i="43" l="1"/>
  <c r="O83" i="43"/>
  <c r="O57" i="43"/>
  <c r="O58" i="43"/>
  <c r="O61" i="43"/>
  <c r="O60" i="43"/>
  <c r="N131" i="43" l="1"/>
  <c r="N83" i="43"/>
  <c r="N58" i="43"/>
  <c r="N57" i="43"/>
  <c r="N59" i="43"/>
  <c r="N60" i="43"/>
  <c r="N61" i="43"/>
  <c r="C166" i="43" l="1"/>
  <c r="C165" i="43"/>
  <c r="C164" i="43"/>
  <c r="C163" i="43"/>
  <c r="C162" i="43"/>
  <c r="L152" i="43"/>
  <c r="K152" i="43"/>
  <c r="M151" i="43"/>
  <c r="M150" i="43"/>
  <c r="M149" i="43"/>
  <c r="M148" i="43"/>
  <c r="M147" i="43"/>
  <c r="K146" i="43"/>
  <c r="K145" i="43"/>
  <c r="N143" i="43"/>
  <c r="K143" i="43"/>
  <c r="P142" i="43"/>
  <c r="P141" i="43"/>
  <c r="O141" i="43"/>
  <c r="O140" i="43"/>
  <c r="N140" i="43"/>
  <c r="P140" i="43" s="1"/>
  <c r="P139" i="43"/>
  <c r="O139" i="43"/>
  <c r="P138" i="43"/>
  <c r="O138" i="43"/>
  <c r="P137" i="43"/>
  <c r="O137" i="43"/>
  <c r="O136" i="43"/>
  <c r="N136" i="43"/>
  <c r="P136" i="43" s="1"/>
  <c r="O135" i="43"/>
  <c r="P135" i="43" s="1"/>
  <c r="N135" i="43"/>
  <c r="O134" i="43"/>
  <c r="L134" i="43"/>
  <c r="P134" i="43" s="1"/>
  <c r="P133" i="43"/>
  <c r="O133" i="43"/>
  <c r="O132" i="43"/>
  <c r="N132" i="43"/>
  <c r="L132" i="43"/>
  <c r="K132" i="43"/>
  <c r="P131" i="43"/>
  <c r="O131" i="43"/>
  <c r="P130" i="43"/>
  <c r="O130" i="43"/>
  <c r="O129" i="43"/>
  <c r="N129" i="43"/>
  <c r="P129" i="43" s="1"/>
  <c r="L129" i="43"/>
  <c r="P128" i="43"/>
  <c r="O128" i="43"/>
  <c r="P127" i="43"/>
  <c r="O127" i="43"/>
  <c r="P126" i="43"/>
  <c r="L125" i="43"/>
  <c r="K125" i="43"/>
  <c r="O124" i="43"/>
  <c r="N124" i="43"/>
  <c r="P124" i="43" s="1"/>
  <c r="P123" i="43"/>
  <c r="O122" i="43"/>
  <c r="N122" i="43"/>
  <c r="P122" i="43" s="1"/>
  <c r="P121" i="43"/>
  <c r="P146" i="43" s="1"/>
  <c r="O121" i="43"/>
  <c r="O146" i="43" s="1"/>
  <c r="N121" i="43"/>
  <c r="N146" i="43" s="1"/>
  <c r="L121" i="43"/>
  <c r="L146" i="43" s="1"/>
  <c r="K121" i="43"/>
  <c r="P120" i="43"/>
  <c r="P145" i="43" s="1"/>
  <c r="O120" i="43"/>
  <c r="O145" i="43" s="1"/>
  <c r="N120" i="43"/>
  <c r="N145" i="43" s="1"/>
  <c r="L120" i="43"/>
  <c r="L145" i="43" s="1"/>
  <c r="K120" i="43"/>
  <c r="P118" i="43"/>
  <c r="P143" i="43" s="1"/>
  <c r="O118" i="43"/>
  <c r="O143" i="43" s="1"/>
  <c r="N118" i="43"/>
  <c r="L118" i="43"/>
  <c r="L143" i="43" s="1"/>
  <c r="K118" i="43"/>
  <c r="O117" i="43"/>
  <c r="N117" i="43"/>
  <c r="L117" i="43"/>
  <c r="K117" i="43"/>
  <c r="P116" i="43"/>
  <c r="P115" i="43"/>
  <c r="O115" i="43"/>
  <c r="P114" i="43"/>
  <c r="O114" i="43"/>
  <c r="P113" i="43"/>
  <c r="O113" i="43"/>
  <c r="N112" i="43"/>
  <c r="P112" i="43" s="1"/>
  <c r="K112" i="43"/>
  <c r="P111" i="43"/>
  <c r="O111" i="43"/>
  <c r="N111" i="43"/>
  <c r="L111" i="43"/>
  <c r="K111" i="43"/>
  <c r="L110" i="43"/>
  <c r="K110" i="43"/>
  <c r="K109" i="43"/>
  <c r="P107" i="43"/>
  <c r="O107" i="43"/>
  <c r="O106" i="43"/>
  <c r="N106" i="43"/>
  <c r="P106" i="43" s="1"/>
  <c r="O105" i="43"/>
  <c r="N105" i="43"/>
  <c r="P105" i="43" s="1"/>
  <c r="P104" i="43"/>
  <c r="O103" i="43"/>
  <c r="N103" i="43"/>
  <c r="P103" i="43" s="1"/>
  <c r="P102" i="43"/>
  <c r="N101" i="43"/>
  <c r="P101" i="43" s="1"/>
  <c r="P100" i="43"/>
  <c r="P99" i="43"/>
  <c r="P98" i="43"/>
  <c r="K96" i="43"/>
  <c r="L96" i="43" s="1"/>
  <c r="P96" i="43" s="1"/>
  <c r="P95" i="43"/>
  <c r="P94" i="43"/>
  <c r="O94" i="43"/>
  <c r="O93" i="43"/>
  <c r="N93" i="43"/>
  <c r="P93" i="43" s="1"/>
  <c r="O92" i="43"/>
  <c r="N92" i="43"/>
  <c r="P92" i="43" s="1"/>
  <c r="O91" i="43"/>
  <c r="N91" i="43"/>
  <c r="P91" i="43" s="1"/>
  <c r="O90" i="43"/>
  <c r="N90" i="43"/>
  <c r="P90" i="43" s="1"/>
  <c r="O89" i="43"/>
  <c r="N89" i="43"/>
  <c r="P89" i="43" s="1"/>
  <c r="L88" i="43"/>
  <c r="P88" i="43" s="1"/>
  <c r="P87" i="43"/>
  <c r="P86" i="43"/>
  <c r="P85" i="43"/>
  <c r="P83" i="43"/>
  <c r="O82" i="43"/>
  <c r="N82" i="43"/>
  <c r="P82" i="43" s="1"/>
  <c r="L81" i="43"/>
  <c r="P81" i="43" s="1"/>
  <c r="L80" i="43"/>
  <c r="P80" i="43" s="1"/>
  <c r="P79" i="43"/>
  <c r="P78" i="43"/>
  <c r="N108" i="43"/>
  <c r="O77" i="43"/>
  <c r="N77" i="43"/>
  <c r="P77" i="43" s="1"/>
  <c r="P76" i="43"/>
  <c r="O76" i="43"/>
  <c r="N76" i="43"/>
  <c r="L76" i="43"/>
  <c r="K76" i="43"/>
  <c r="L75" i="43"/>
  <c r="K75" i="43"/>
  <c r="L74" i="43"/>
  <c r="K74" i="43"/>
  <c r="L73" i="43"/>
  <c r="K73" i="43"/>
  <c r="P72" i="43"/>
  <c r="O72" i="43"/>
  <c r="O71" i="43"/>
  <c r="N71" i="43"/>
  <c r="N74" i="43" s="1"/>
  <c r="P70" i="43"/>
  <c r="O69" i="43"/>
  <c r="O75" i="43" s="1"/>
  <c r="N69" i="43"/>
  <c r="P69" i="43" s="1"/>
  <c r="O68" i="43"/>
  <c r="O73" i="43" s="1"/>
  <c r="N68" i="43"/>
  <c r="P68" i="43" s="1"/>
  <c r="P67" i="43"/>
  <c r="P65" i="43"/>
  <c r="O65" i="43"/>
  <c r="N65" i="43"/>
  <c r="L65" i="43"/>
  <c r="K65" i="43"/>
  <c r="P64" i="43"/>
  <c r="O64" i="43"/>
  <c r="N64" i="43"/>
  <c r="L64" i="43"/>
  <c r="K64" i="43"/>
  <c r="O63" i="43"/>
  <c r="L63" i="43"/>
  <c r="K63" i="43"/>
  <c r="K62" i="43"/>
  <c r="P61" i="43"/>
  <c r="L60" i="43"/>
  <c r="L62" i="43" s="1"/>
  <c r="P59" i="43"/>
  <c r="O62" i="43"/>
  <c r="P58" i="43"/>
  <c r="N63" i="43"/>
  <c r="P57" i="43"/>
  <c r="N56" i="43"/>
  <c r="L55" i="43"/>
  <c r="L151" i="43" s="1"/>
  <c r="K55" i="43"/>
  <c r="K151" i="43" s="1"/>
  <c r="L54" i="43"/>
  <c r="K54" i="43"/>
  <c r="L53" i="43"/>
  <c r="K52" i="43"/>
  <c r="K51" i="43"/>
  <c r="P50" i="43"/>
  <c r="O50" i="43"/>
  <c r="P49" i="43"/>
  <c r="O49" i="43"/>
  <c r="O48" i="43"/>
  <c r="N48" i="43"/>
  <c r="L48" i="43"/>
  <c r="O47" i="43"/>
  <c r="N47" i="43"/>
  <c r="P47" i="43" s="1"/>
  <c r="P46" i="43"/>
  <c r="O45" i="43"/>
  <c r="N45" i="43"/>
  <c r="P45" i="43" s="1"/>
  <c r="O44" i="43"/>
  <c r="N44" i="43"/>
  <c r="P44" i="43" s="1"/>
  <c r="O43" i="43"/>
  <c r="N43" i="43"/>
  <c r="P43" i="43" s="1"/>
  <c r="P42" i="43"/>
  <c r="L41" i="43"/>
  <c r="O40" i="43"/>
  <c r="N40" i="43"/>
  <c r="P40" i="43" s="1"/>
  <c r="O39" i="43"/>
  <c r="N39" i="43"/>
  <c r="P39" i="43" s="1"/>
  <c r="O38" i="43"/>
  <c r="N38" i="43"/>
  <c r="P38" i="43" s="1"/>
  <c r="O37" i="43"/>
  <c r="N37" i="43"/>
  <c r="P37" i="43" s="1"/>
  <c r="O36" i="43"/>
  <c r="N36" i="43"/>
  <c r="P36" i="43" s="1"/>
  <c r="P35" i="43"/>
  <c r="O35" i="43"/>
  <c r="O34" i="43"/>
  <c r="N34" i="43"/>
  <c r="P34" i="43" s="1"/>
  <c r="O33" i="43"/>
  <c r="N33" i="43"/>
  <c r="P33" i="43" s="1"/>
  <c r="O32" i="43"/>
  <c r="N32" i="43"/>
  <c r="P32" i="43" s="1"/>
  <c r="O31" i="43"/>
  <c r="N31" i="43"/>
  <c r="P31" i="43" s="1"/>
  <c r="O30" i="43"/>
  <c r="N30" i="43"/>
  <c r="P30" i="43" s="1"/>
  <c r="O29" i="43"/>
  <c r="N29" i="43"/>
  <c r="P29" i="43" s="1"/>
  <c r="O28" i="43"/>
  <c r="N28" i="43"/>
  <c r="P28" i="43" s="1"/>
  <c r="O27" i="43"/>
  <c r="N27" i="43"/>
  <c r="P27" i="43" s="1"/>
  <c r="O26" i="43"/>
  <c r="N26" i="43"/>
  <c r="P26" i="43" s="1"/>
  <c r="O25" i="43"/>
  <c r="N25" i="43"/>
  <c r="P25" i="43" s="1"/>
  <c r="P24" i="43"/>
  <c r="P23" i="43"/>
  <c r="P22" i="43"/>
  <c r="O22" i="43"/>
  <c r="P21" i="43"/>
  <c r="O21" i="43"/>
  <c r="P20" i="43"/>
  <c r="O20" i="43"/>
  <c r="P19" i="43"/>
  <c r="O19" i="43"/>
  <c r="O18" i="43"/>
  <c r="N18" i="43"/>
  <c r="P18" i="43" s="1"/>
  <c r="O17" i="43"/>
  <c r="N17" i="43"/>
  <c r="P17" i="43" s="1"/>
  <c r="K17" i="43"/>
  <c r="O16" i="43"/>
  <c r="N16" i="43"/>
  <c r="P16" i="43" s="1"/>
  <c r="O15" i="43"/>
  <c r="N15" i="43"/>
  <c r="P15" i="43" s="1"/>
  <c r="K15" i="43"/>
  <c r="P14" i="43"/>
  <c r="P13" i="43"/>
  <c r="O13" i="43"/>
  <c r="P12" i="43"/>
  <c r="P11" i="43"/>
  <c r="P10" i="43"/>
  <c r="O10" i="43"/>
  <c r="P9" i="43"/>
  <c r="O9" i="43"/>
  <c r="P8" i="43"/>
  <c r="O8" i="43"/>
  <c r="O7" i="43"/>
  <c r="N7" i="43"/>
  <c r="P7" i="43" s="1"/>
  <c r="O6" i="43"/>
  <c r="N6" i="43"/>
  <c r="P6" i="43" s="1"/>
  <c r="O5" i="43"/>
  <c r="N5" i="43"/>
  <c r="L5" i="43"/>
  <c r="L51" i="43" s="1"/>
  <c r="O74" i="43" l="1"/>
  <c r="P71" i="43"/>
  <c r="O110" i="43"/>
  <c r="K53" i="43"/>
  <c r="K149" i="43" s="1"/>
  <c r="O55" i="43"/>
  <c r="O151" i="43" s="1"/>
  <c r="N52" i="43"/>
  <c r="K108" i="43"/>
  <c r="K147" i="43" s="1"/>
  <c r="N51" i="43"/>
  <c r="O51" i="43"/>
  <c r="O53" i="43"/>
  <c r="O52" i="43"/>
  <c r="O54" i="43"/>
  <c r="O150" i="43" s="1"/>
  <c r="N73" i="43"/>
  <c r="O119" i="43"/>
  <c r="O144" i="43"/>
  <c r="P132" i="43"/>
  <c r="O108" i="43"/>
  <c r="O109" i="43"/>
  <c r="K144" i="43"/>
  <c r="L150" i="43"/>
  <c r="L108" i="43"/>
  <c r="L147" i="43" s="1"/>
  <c r="P63" i="43"/>
  <c r="P74" i="43"/>
  <c r="P109" i="43"/>
  <c r="P75" i="43"/>
  <c r="P108" i="43"/>
  <c r="P55" i="43"/>
  <c r="P151" i="43" s="1"/>
  <c r="K150" i="43"/>
  <c r="O149" i="43"/>
  <c r="P54" i="43"/>
  <c r="P150" i="43" s="1"/>
  <c r="P53" i="43"/>
  <c r="L149" i="43"/>
  <c r="L52" i="43"/>
  <c r="P41" i="43"/>
  <c r="P152" i="43"/>
  <c r="P73" i="43"/>
  <c r="P110" i="43"/>
  <c r="N54" i="43"/>
  <c r="N150" i="43" s="1"/>
  <c r="N62" i="43"/>
  <c r="N119" i="43"/>
  <c r="N53" i="43"/>
  <c r="L119" i="43"/>
  <c r="P117" i="43"/>
  <c r="N110" i="43"/>
  <c r="L144" i="43"/>
  <c r="P5" i="43"/>
  <c r="P48" i="43"/>
  <c r="N55" i="43"/>
  <c r="N151" i="43" s="1"/>
  <c r="P56" i="43"/>
  <c r="P60" i="43"/>
  <c r="N75" i="43"/>
  <c r="N109" i="43"/>
  <c r="N144" i="43"/>
  <c r="C167" i="43"/>
  <c r="L109" i="43"/>
  <c r="K119" i="43"/>
  <c r="P125" i="43"/>
  <c r="M123" i="42"/>
  <c r="K148" i="43" l="1"/>
  <c r="O148" i="43"/>
  <c r="O147" i="43"/>
  <c r="N147" i="43"/>
  <c r="P144" i="43"/>
  <c r="P52" i="43"/>
  <c r="N148" i="43"/>
  <c r="L148" i="43"/>
  <c r="P62" i="43"/>
  <c r="P119" i="43"/>
  <c r="P51" i="43"/>
  <c r="N149" i="43"/>
  <c r="P149" i="43"/>
  <c r="N106" i="42"/>
  <c r="P148" i="43" l="1"/>
  <c r="P147" i="43"/>
  <c r="M105" i="42"/>
  <c r="O105" i="42" s="1"/>
  <c r="N94" i="42" l="1"/>
  <c r="M94" i="42"/>
  <c r="N104" i="42" l="1"/>
  <c r="N105" i="42"/>
  <c r="N66" i="42"/>
  <c r="M104" i="42"/>
  <c r="M100" i="42"/>
  <c r="O100" i="42" s="1"/>
  <c r="O123" i="42"/>
  <c r="N39" i="42"/>
  <c r="M39" i="42"/>
  <c r="O39" i="42" s="1"/>
  <c r="K151" i="42"/>
  <c r="J151" i="42"/>
  <c r="L150" i="42"/>
  <c r="L149" i="42"/>
  <c r="L148" i="42"/>
  <c r="L147" i="42"/>
  <c r="L146" i="42"/>
  <c r="J145" i="42"/>
  <c r="J144" i="42"/>
  <c r="M142" i="42"/>
  <c r="J142" i="42"/>
  <c r="O141" i="42"/>
  <c r="O140" i="42"/>
  <c r="N140" i="42"/>
  <c r="N139" i="42"/>
  <c r="M139" i="42"/>
  <c r="O139" i="42" s="1"/>
  <c r="O138" i="42"/>
  <c r="N138" i="42"/>
  <c r="O137" i="42"/>
  <c r="N137" i="42"/>
  <c r="O136" i="42"/>
  <c r="N136" i="42"/>
  <c r="N135" i="42"/>
  <c r="M135" i="42"/>
  <c r="O135" i="42" s="1"/>
  <c r="N134" i="42"/>
  <c r="O134" i="42" s="1"/>
  <c r="M134" i="42"/>
  <c r="N133" i="42"/>
  <c r="K133" i="42"/>
  <c r="O133" i="42" s="1"/>
  <c r="O132" i="42"/>
  <c r="N132" i="42"/>
  <c r="N131" i="42"/>
  <c r="M131" i="42"/>
  <c r="K131" i="42"/>
  <c r="J131" i="42"/>
  <c r="N130" i="42"/>
  <c r="M130" i="42"/>
  <c r="O130" i="42" s="1"/>
  <c r="O129" i="42"/>
  <c r="N129" i="42"/>
  <c r="N128" i="42"/>
  <c r="M128" i="42"/>
  <c r="K128" i="42"/>
  <c r="O127" i="42"/>
  <c r="N127" i="42"/>
  <c r="O126" i="42"/>
  <c r="N126" i="42"/>
  <c r="O125" i="42"/>
  <c r="K124" i="42"/>
  <c r="O124" i="42" s="1"/>
  <c r="J124" i="42"/>
  <c r="N123" i="42"/>
  <c r="O122" i="42"/>
  <c r="N121" i="42"/>
  <c r="M121" i="42"/>
  <c r="O121" i="42" s="1"/>
  <c r="O120" i="42"/>
  <c r="O145" i="42" s="1"/>
  <c r="N120" i="42"/>
  <c r="N145" i="42" s="1"/>
  <c r="M120" i="42"/>
  <c r="M145" i="42" s="1"/>
  <c r="K120" i="42"/>
  <c r="K145" i="42" s="1"/>
  <c r="J120" i="42"/>
  <c r="O119" i="42"/>
  <c r="O144" i="42" s="1"/>
  <c r="N119" i="42"/>
  <c r="N144" i="42" s="1"/>
  <c r="M119" i="42"/>
  <c r="M144" i="42" s="1"/>
  <c r="K119" i="42"/>
  <c r="K144" i="42" s="1"/>
  <c r="J119" i="42"/>
  <c r="O117" i="42"/>
  <c r="O142" i="42" s="1"/>
  <c r="N117" i="42"/>
  <c r="N142" i="42" s="1"/>
  <c r="M117" i="42"/>
  <c r="K117" i="42"/>
  <c r="K142" i="42" s="1"/>
  <c r="J117" i="42"/>
  <c r="N116" i="42"/>
  <c r="M116" i="42"/>
  <c r="K116" i="42"/>
  <c r="K118" i="42" s="1"/>
  <c r="J116" i="42"/>
  <c r="O115" i="42"/>
  <c r="O114" i="42"/>
  <c r="N114" i="42"/>
  <c r="O113" i="42"/>
  <c r="N113" i="42"/>
  <c r="O112" i="42"/>
  <c r="N112" i="42"/>
  <c r="M111" i="42"/>
  <c r="J111" i="42"/>
  <c r="O110" i="42"/>
  <c r="N110" i="42"/>
  <c r="M110" i="42"/>
  <c r="K110" i="42"/>
  <c r="J110" i="42"/>
  <c r="K109" i="42"/>
  <c r="J109" i="42"/>
  <c r="J108" i="42"/>
  <c r="O106" i="42"/>
  <c r="O104" i="42"/>
  <c r="O103" i="42"/>
  <c r="N102" i="42"/>
  <c r="M102" i="42"/>
  <c r="O102" i="42" s="1"/>
  <c r="O101" i="42"/>
  <c r="O99" i="42"/>
  <c r="O98" i="42"/>
  <c r="O97" i="42"/>
  <c r="N95" i="42"/>
  <c r="J95" i="42"/>
  <c r="O94" i="42"/>
  <c r="O93" i="42"/>
  <c r="N93" i="42"/>
  <c r="N92" i="42"/>
  <c r="M92" i="42"/>
  <c r="O92" i="42" s="1"/>
  <c r="N91" i="42"/>
  <c r="M91" i="42"/>
  <c r="O91" i="42" s="1"/>
  <c r="N90" i="42"/>
  <c r="M90" i="42"/>
  <c r="O90" i="42" s="1"/>
  <c r="N89" i="42"/>
  <c r="M89" i="42"/>
  <c r="O89" i="42" s="1"/>
  <c r="N88" i="42"/>
  <c r="M88" i="42"/>
  <c r="O88" i="42" s="1"/>
  <c r="K87" i="42"/>
  <c r="O87" i="42" s="1"/>
  <c r="O86" i="42"/>
  <c r="O85" i="42"/>
  <c r="O84" i="42"/>
  <c r="N83" i="42"/>
  <c r="M83" i="42"/>
  <c r="O83" i="42" s="1"/>
  <c r="N82" i="42"/>
  <c r="M82" i="42"/>
  <c r="O82" i="42" s="1"/>
  <c r="K81" i="42"/>
  <c r="O81" i="42" s="1"/>
  <c r="K80" i="42"/>
  <c r="O79" i="42"/>
  <c r="N78" i="42"/>
  <c r="M78" i="42"/>
  <c r="O78" i="42" s="1"/>
  <c r="N77" i="42"/>
  <c r="M77" i="42"/>
  <c r="O76" i="42"/>
  <c r="N76" i="42"/>
  <c r="M76" i="42"/>
  <c r="K76" i="42"/>
  <c r="J76" i="42"/>
  <c r="K75" i="42"/>
  <c r="J75" i="42"/>
  <c r="K74" i="42"/>
  <c r="J74" i="42"/>
  <c r="K73" i="42"/>
  <c r="J73" i="42"/>
  <c r="O72" i="42"/>
  <c r="N72" i="42"/>
  <c r="N71" i="42"/>
  <c r="M71" i="42"/>
  <c r="O71" i="42" s="1"/>
  <c r="N70" i="42"/>
  <c r="M70" i="42"/>
  <c r="O70" i="42" s="1"/>
  <c r="N69" i="42"/>
  <c r="M69" i="42"/>
  <c r="N68" i="42"/>
  <c r="N73" i="42" s="1"/>
  <c r="M68" i="42"/>
  <c r="M73" i="42" s="1"/>
  <c r="O67" i="42"/>
  <c r="M66" i="42"/>
  <c r="O65" i="42"/>
  <c r="N65" i="42"/>
  <c r="M65" i="42"/>
  <c r="K65" i="42"/>
  <c r="J65" i="42"/>
  <c r="O64" i="42"/>
  <c r="N64" i="42"/>
  <c r="M64" i="42"/>
  <c r="K64" i="42"/>
  <c r="J64" i="42"/>
  <c r="N63" i="42"/>
  <c r="K63" i="42"/>
  <c r="J63" i="42"/>
  <c r="J62" i="42"/>
  <c r="M61" i="42"/>
  <c r="O61" i="42" s="1"/>
  <c r="M60" i="42"/>
  <c r="K60" i="42"/>
  <c r="K62" i="42" s="1"/>
  <c r="N59" i="42"/>
  <c r="N62" i="42" s="1"/>
  <c r="M59" i="42"/>
  <c r="O59" i="42" s="1"/>
  <c r="M58" i="42"/>
  <c r="O58" i="42" s="1"/>
  <c r="M57" i="42"/>
  <c r="O57" i="42" s="1"/>
  <c r="M56" i="42"/>
  <c r="O56" i="42" s="1"/>
  <c r="K55" i="42"/>
  <c r="K150" i="42" s="1"/>
  <c r="J55" i="42"/>
  <c r="J150" i="42" s="1"/>
  <c r="K54" i="42"/>
  <c r="J54" i="42"/>
  <c r="K53" i="42"/>
  <c r="J52" i="42"/>
  <c r="J51" i="42"/>
  <c r="O50" i="42"/>
  <c r="N50" i="42"/>
  <c r="O49" i="42"/>
  <c r="N49" i="42"/>
  <c r="N48" i="42"/>
  <c r="M48" i="42"/>
  <c r="K48" i="42"/>
  <c r="N47" i="42"/>
  <c r="M47" i="42"/>
  <c r="O47" i="42" s="1"/>
  <c r="O46" i="42"/>
  <c r="N45" i="42"/>
  <c r="M45" i="42"/>
  <c r="O45" i="42" s="1"/>
  <c r="N44" i="42"/>
  <c r="M44" i="42"/>
  <c r="O44" i="42" s="1"/>
  <c r="N43" i="42"/>
  <c r="M43" i="42"/>
  <c r="O43" i="42" s="1"/>
  <c r="O42" i="42"/>
  <c r="K41" i="42"/>
  <c r="N40" i="42"/>
  <c r="M40" i="42"/>
  <c r="O40" i="42" s="1"/>
  <c r="N38" i="42"/>
  <c r="M38" i="42"/>
  <c r="O38" i="42" s="1"/>
  <c r="N37" i="42"/>
  <c r="M37" i="42"/>
  <c r="O37" i="42" s="1"/>
  <c r="N36" i="42"/>
  <c r="M36" i="42"/>
  <c r="O36" i="42" s="1"/>
  <c r="O35" i="42"/>
  <c r="N35" i="42"/>
  <c r="N34" i="42"/>
  <c r="M34" i="42"/>
  <c r="O34" i="42" s="1"/>
  <c r="N33" i="42"/>
  <c r="M33" i="42"/>
  <c r="O33" i="42" s="1"/>
  <c r="N32" i="42"/>
  <c r="M32" i="42"/>
  <c r="O32" i="42" s="1"/>
  <c r="N31" i="42"/>
  <c r="M31" i="42"/>
  <c r="N30" i="42"/>
  <c r="M30" i="42"/>
  <c r="O30" i="42" s="1"/>
  <c r="N29" i="42"/>
  <c r="M29" i="42"/>
  <c r="O29" i="42" s="1"/>
  <c r="N28" i="42"/>
  <c r="M28" i="42"/>
  <c r="O28" i="42" s="1"/>
  <c r="N27" i="42"/>
  <c r="M27" i="42"/>
  <c r="O27" i="42" s="1"/>
  <c r="N26" i="42"/>
  <c r="M26" i="42"/>
  <c r="O26" i="42" s="1"/>
  <c r="N25" i="42"/>
  <c r="M25" i="42"/>
  <c r="O24" i="42"/>
  <c r="O23" i="42"/>
  <c r="O22" i="42"/>
  <c r="N22" i="42"/>
  <c r="O21" i="42"/>
  <c r="N21" i="42"/>
  <c r="O20" i="42"/>
  <c r="N20" i="42"/>
  <c r="O19" i="42"/>
  <c r="N19" i="42"/>
  <c r="N18" i="42"/>
  <c r="M18" i="42"/>
  <c r="O18" i="42" s="1"/>
  <c r="N17" i="42"/>
  <c r="M17" i="42"/>
  <c r="O17" i="42" s="1"/>
  <c r="J17" i="42"/>
  <c r="N16" i="42"/>
  <c r="M16" i="42"/>
  <c r="N15" i="42"/>
  <c r="M15" i="42"/>
  <c r="O15" i="42" s="1"/>
  <c r="J15" i="42"/>
  <c r="O14" i="42"/>
  <c r="O13" i="42"/>
  <c r="N13" i="42"/>
  <c r="O12" i="42"/>
  <c r="O11" i="42"/>
  <c r="O10" i="42"/>
  <c r="N10" i="42"/>
  <c r="O9" i="42"/>
  <c r="N9" i="42"/>
  <c r="O8" i="42"/>
  <c r="N8" i="42"/>
  <c r="N7" i="42"/>
  <c r="M7" i="42"/>
  <c r="O7" i="42" s="1"/>
  <c r="N6" i="42"/>
  <c r="M6" i="42"/>
  <c r="O6" i="42" s="1"/>
  <c r="N5" i="42"/>
  <c r="M5" i="42"/>
  <c r="K5" i="42"/>
  <c r="K51" i="42" s="1"/>
  <c r="N107" i="42" l="1"/>
  <c r="M74" i="42"/>
  <c r="J143" i="42"/>
  <c r="M118" i="42"/>
  <c r="M75" i="42"/>
  <c r="M55" i="42"/>
  <c r="M150" i="42" s="1"/>
  <c r="M54" i="42"/>
  <c r="M149" i="42" s="1"/>
  <c r="O48" i="42"/>
  <c r="O66" i="42"/>
  <c r="O74" i="42" s="1"/>
  <c r="N75" i="42"/>
  <c r="O111" i="42"/>
  <c r="K52" i="42"/>
  <c r="N74" i="42"/>
  <c r="O5" i="42"/>
  <c r="O51" i="42" s="1"/>
  <c r="O151" i="42"/>
  <c r="N55" i="42"/>
  <c r="N150" i="42" s="1"/>
  <c r="N109" i="42"/>
  <c r="O128" i="42"/>
  <c r="N118" i="42"/>
  <c r="N53" i="42"/>
  <c r="N54" i="42"/>
  <c r="N149" i="42" s="1"/>
  <c r="O68" i="42"/>
  <c r="O69" i="42"/>
  <c r="M108" i="42"/>
  <c r="J118" i="42"/>
  <c r="O116" i="42"/>
  <c r="K143" i="42"/>
  <c r="M62" i="42"/>
  <c r="O131" i="42"/>
  <c r="N51" i="42"/>
  <c r="N52" i="42"/>
  <c r="M52" i="42"/>
  <c r="N108" i="42"/>
  <c r="M143" i="42"/>
  <c r="O63" i="42"/>
  <c r="J149" i="42"/>
  <c r="M51" i="42"/>
  <c r="O41" i="42"/>
  <c r="K148" i="42"/>
  <c r="K149" i="42"/>
  <c r="O60" i="42"/>
  <c r="M109" i="42"/>
  <c r="O77" i="42"/>
  <c r="O108" i="42"/>
  <c r="K95" i="42"/>
  <c r="O95" i="42" s="1"/>
  <c r="J107" i="42"/>
  <c r="J146" i="42" s="1"/>
  <c r="N143" i="42"/>
  <c r="J53" i="42"/>
  <c r="J148" i="42" s="1"/>
  <c r="O16" i="42"/>
  <c r="O25" i="42"/>
  <c r="O31" i="42"/>
  <c r="M53" i="42"/>
  <c r="O53" i="42"/>
  <c r="M107" i="42"/>
  <c r="O80" i="42"/>
  <c r="K108" i="42"/>
  <c r="M63" i="42"/>
  <c r="N66" i="41"/>
  <c r="K147" i="42" l="1"/>
  <c r="N146" i="42"/>
  <c r="J147" i="42"/>
  <c r="N147" i="42"/>
  <c r="O75" i="42"/>
  <c r="N148" i="42"/>
  <c r="O143" i="42"/>
  <c r="O73" i="42"/>
  <c r="M147" i="42"/>
  <c r="O118" i="42"/>
  <c r="K107" i="42"/>
  <c r="K146" i="42" s="1"/>
  <c r="O107" i="42"/>
  <c r="M148" i="42"/>
  <c r="O109" i="42"/>
  <c r="O54" i="42"/>
  <c r="O149" i="42" s="1"/>
  <c r="O62" i="42"/>
  <c r="O52" i="42"/>
  <c r="O55" i="42"/>
  <c r="O150" i="42" s="1"/>
  <c r="M146" i="42"/>
  <c r="N94" i="41"/>
  <c r="M94" i="41"/>
  <c r="O148" i="42" l="1"/>
  <c r="O147" i="42"/>
  <c r="O146" i="42"/>
  <c r="N18" i="41"/>
  <c r="N17" i="41"/>
  <c r="N31" i="41"/>
  <c r="N32" i="41"/>
  <c r="M116" i="41" l="1"/>
  <c r="M135" i="41"/>
  <c r="M32" i="41"/>
  <c r="M18" i="41"/>
  <c r="M17" i="41"/>
  <c r="M15" i="41"/>
  <c r="M31" i="41"/>
  <c r="K151" i="41" l="1"/>
  <c r="J151" i="41"/>
  <c r="L150" i="41"/>
  <c r="L149" i="41"/>
  <c r="L148" i="41"/>
  <c r="L147" i="41"/>
  <c r="L146" i="41"/>
  <c r="J145" i="41"/>
  <c r="J144" i="41"/>
  <c r="M142" i="41"/>
  <c r="J142" i="41"/>
  <c r="O141" i="41"/>
  <c r="O140" i="41"/>
  <c r="N140" i="41"/>
  <c r="N139" i="41"/>
  <c r="M139" i="41"/>
  <c r="O139" i="41" s="1"/>
  <c r="O138" i="41"/>
  <c r="N138" i="41"/>
  <c r="O137" i="41"/>
  <c r="N137" i="41"/>
  <c r="O136" i="41"/>
  <c r="N136" i="41"/>
  <c r="N135" i="41"/>
  <c r="O135" i="41"/>
  <c r="N134" i="41"/>
  <c r="O134" i="41" s="1"/>
  <c r="M134" i="41"/>
  <c r="N133" i="41"/>
  <c r="K133" i="41"/>
  <c r="O133" i="41" s="1"/>
  <c r="O132" i="41"/>
  <c r="N132" i="41"/>
  <c r="N131" i="41"/>
  <c r="M131" i="41"/>
  <c r="K131" i="41"/>
  <c r="J131" i="41"/>
  <c r="N130" i="41"/>
  <c r="M130" i="41"/>
  <c r="O130" i="41" s="1"/>
  <c r="O129" i="41"/>
  <c r="N129" i="41"/>
  <c r="N128" i="41"/>
  <c r="M128" i="41"/>
  <c r="K128" i="41"/>
  <c r="O127" i="41"/>
  <c r="N127" i="41"/>
  <c r="O126" i="41"/>
  <c r="N126" i="41"/>
  <c r="O125" i="41"/>
  <c r="K124" i="41"/>
  <c r="J124" i="41"/>
  <c r="J143" i="41" s="1"/>
  <c r="N123" i="41"/>
  <c r="M123" i="41"/>
  <c r="O123" i="41" s="1"/>
  <c r="O122" i="41"/>
  <c r="N121" i="41"/>
  <c r="M121" i="41"/>
  <c r="O120" i="41"/>
  <c r="O145" i="41" s="1"/>
  <c r="N120" i="41"/>
  <c r="N145" i="41" s="1"/>
  <c r="M120" i="41"/>
  <c r="M145" i="41" s="1"/>
  <c r="K120" i="41"/>
  <c r="K145" i="41" s="1"/>
  <c r="J120" i="41"/>
  <c r="O119" i="41"/>
  <c r="O144" i="41" s="1"/>
  <c r="N119" i="41"/>
  <c r="N144" i="41" s="1"/>
  <c r="M119" i="41"/>
  <c r="M144" i="41" s="1"/>
  <c r="K119" i="41"/>
  <c r="K144" i="41" s="1"/>
  <c r="J119" i="41"/>
  <c r="O117" i="41"/>
  <c r="O142" i="41" s="1"/>
  <c r="N117" i="41"/>
  <c r="N142" i="41" s="1"/>
  <c r="M117" i="41"/>
  <c r="K117" i="41"/>
  <c r="K142" i="41" s="1"/>
  <c r="J117" i="41"/>
  <c r="N116" i="41"/>
  <c r="K116" i="41"/>
  <c r="O116" i="41" s="1"/>
  <c r="J116" i="41"/>
  <c r="O115" i="41"/>
  <c r="O114" i="41"/>
  <c r="N114" i="41"/>
  <c r="O113" i="41"/>
  <c r="N113" i="41"/>
  <c r="O112" i="41"/>
  <c r="N112" i="41"/>
  <c r="M111" i="41"/>
  <c r="M118" i="41" s="1"/>
  <c r="J111" i="41"/>
  <c r="J118" i="41" s="1"/>
  <c r="O110" i="41"/>
  <c r="N110" i="41"/>
  <c r="M110" i="41"/>
  <c r="K110" i="41"/>
  <c r="J110" i="41"/>
  <c r="K109" i="41"/>
  <c r="J109" i="41"/>
  <c r="J108" i="41"/>
  <c r="O106" i="41"/>
  <c r="N106" i="41"/>
  <c r="N105" i="41"/>
  <c r="M105" i="41"/>
  <c r="O105" i="41" s="1"/>
  <c r="N104" i="41"/>
  <c r="M104" i="41"/>
  <c r="O104" i="41" s="1"/>
  <c r="O103" i="41"/>
  <c r="N102" i="41"/>
  <c r="M102" i="41"/>
  <c r="O102" i="41" s="1"/>
  <c r="O101" i="41"/>
  <c r="M100" i="41"/>
  <c r="O100" i="41" s="1"/>
  <c r="O99" i="41"/>
  <c r="O98" i="41"/>
  <c r="O97" i="41"/>
  <c r="N95" i="41"/>
  <c r="J95" i="41"/>
  <c r="J107" i="41" s="1"/>
  <c r="O94" i="41"/>
  <c r="O93" i="41"/>
  <c r="N93" i="41"/>
  <c r="N92" i="41"/>
  <c r="M92" i="41"/>
  <c r="O92" i="41" s="1"/>
  <c r="N91" i="41"/>
  <c r="M91" i="41"/>
  <c r="O91" i="41" s="1"/>
  <c r="N90" i="41"/>
  <c r="M90" i="41"/>
  <c r="O90" i="41" s="1"/>
  <c r="N89" i="41"/>
  <c r="M89" i="41"/>
  <c r="O89" i="41" s="1"/>
  <c r="N88" i="41"/>
  <c r="M88" i="41"/>
  <c r="O88" i="41" s="1"/>
  <c r="K87" i="41"/>
  <c r="O87" i="41" s="1"/>
  <c r="O86" i="41"/>
  <c r="O85" i="41"/>
  <c r="O84" i="41"/>
  <c r="N83" i="41"/>
  <c r="M83" i="41"/>
  <c r="O83" i="41" s="1"/>
  <c r="O82" i="41"/>
  <c r="N82" i="41"/>
  <c r="M82" i="41"/>
  <c r="K81" i="41"/>
  <c r="O81" i="41" s="1"/>
  <c r="O80" i="41"/>
  <c r="K80" i="41"/>
  <c r="O79" i="41"/>
  <c r="O78" i="41"/>
  <c r="N78" i="41"/>
  <c r="N107" i="41" s="1"/>
  <c r="M78" i="41"/>
  <c r="M107" i="41" s="1"/>
  <c r="N77" i="41"/>
  <c r="M77" i="41"/>
  <c r="O76" i="41"/>
  <c r="N76" i="41"/>
  <c r="M76" i="41"/>
  <c r="K76" i="41"/>
  <c r="J76" i="41"/>
  <c r="K75" i="41"/>
  <c r="J75" i="41"/>
  <c r="K74" i="41"/>
  <c r="J74" i="41"/>
  <c r="K73" i="41"/>
  <c r="J73" i="41"/>
  <c r="O72" i="41"/>
  <c r="N72" i="41"/>
  <c r="N71" i="41"/>
  <c r="M71" i="41"/>
  <c r="O71" i="41" s="1"/>
  <c r="N70" i="41"/>
  <c r="M70" i="41"/>
  <c r="O70" i="41" s="1"/>
  <c r="N69" i="41"/>
  <c r="M69" i="41"/>
  <c r="N68" i="41"/>
  <c r="N73" i="41" s="1"/>
  <c r="M68" i="41"/>
  <c r="M73" i="41" s="1"/>
  <c r="O67" i="41"/>
  <c r="M66" i="41"/>
  <c r="M74" i="41" s="1"/>
  <c r="O65" i="41"/>
  <c r="N65" i="41"/>
  <c r="M65" i="41"/>
  <c r="K65" i="41"/>
  <c r="J65" i="41"/>
  <c r="O64" i="41"/>
  <c r="N64" i="41"/>
  <c r="M64" i="41"/>
  <c r="K64" i="41"/>
  <c r="J64" i="41"/>
  <c r="N63" i="41"/>
  <c r="K63" i="41"/>
  <c r="J63" i="41"/>
  <c r="J62" i="41"/>
  <c r="M61" i="41"/>
  <c r="O61" i="41" s="1"/>
  <c r="M60" i="41"/>
  <c r="K60" i="41"/>
  <c r="N59" i="41"/>
  <c r="N62" i="41" s="1"/>
  <c r="M59" i="41"/>
  <c r="O59" i="41" s="1"/>
  <c r="M58" i="41"/>
  <c r="M57" i="41"/>
  <c r="O57" i="41" s="1"/>
  <c r="M56" i="41"/>
  <c r="K55" i="41"/>
  <c r="K150" i="41" s="1"/>
  <c r="J55" i="41"/>
  <c r="J150" i="41" s="1"/>
  <c r="K54" i="41"/>
  <c r="J54" i="41"/>
  <c r="K53" i="41"/>
  <c r="J52" i="41"/>
  <c r="J51" i="41"/>
  <c r="O50" i="41"/>
  <c r="N50" i="41"/>
  <c r="O49" i="41"/>
  <c r="N49" i="41"/>
  <c r="N48" i="41"/>
  <c r="M48" i="41"/>
  <c r="K48" i="41"/>
  <c r="N47" i="41"/>
  <c r="M47" i="41"/>
  <c r="O47" i="41" s="1"/>
  <c r="O46" i="41"/>
  <c r="N45" i="41"/>
  <c r="M45" i="41"/>
  <c r="O45" i="41" s="1"/>
  <c r="N44" i="41"/>
  <c r="M44" i="41"/>
  <c r="O44" i="41" s="1"/>
  <c r="N43" i="41"/>
  <c r="M43" i="41"/>
  <c r="O43" i="41" s="1"/>
  <c r="O42" i="41"/>
  <c r="K41" i="41"/>
  <c r="K52" i="41" s="1"/>
  <c r="N40" i="41"/>
  <c r="M40" i="41"/>
  <c r="O40" i="41" s="1"/>
  <c r="N39" i="41"/>
  <c r="N54" i="41" s="1"/>
  <c r="M39" i="41"/>
  <c r="O39" i="41" s="1"/>
  <c r="N38" i="41"/>
  <c r="M38" i="41"/>
  <c r="O38" i="41" s="1"/>
  <c r="N37" i="41"/>
  <c r="M37" i="41"/>
  <c r="O37" i="41" s="1"/>
  <c r="N36" i="41"/>
  <c r="M36" i="41"/>
  <c r="O36" i="41" s="1"/>
  <c r="O35" i="41"/>
  <c r="N35" i="41"/>
  <c r="N34" i="41"/>
  <c r="M34" i="41"/>
  <c r="O34" i="41" s="1"/>
  <c r="N33" i="41"/>
  <c r="M33" i="41"/>
  <c r="O33" i="41" s="1"/>
  <c r="O32" i="41"/>
  <c r="N30" i="41"/>
  <c r="M30" i="41"/>
  <c r="O30" i="41" s="1"/>
  <c r="N29" i="41"/>
  <c r="M29" i="41"/>
  <c r="O29" i="41" s="1"/>
  <c r="N28" i="41"/>
  <c r="M28" i="41"/>
  <c r="O28" i="41" s="1"/>
  <c r="N27" i="41"/>
  <c r="M27" i="41"/>
  <c r="O27" i="41" s="1"/>
  <c r="N26" i="41"/>
  <c r="M26" i="41"/>
  <c r="O26" i="41" s="1"/>
  <c r="N25" i="41"/>
  <c r="M25" i="41"/>
  <c r="M55" i="41" s="1"/>
  <c r="M150" i="41" s="1"/>
  <c r="O24" i="41"/>
  <c r="O23" i="41"/>
  <c r="O22" i="41"/>
  <c r="N22" i="41"/>
  <c r="O21" i="41"/>
  <c r="N21" i="41"/>
  <c r="O20" i="41"/>
  <c r="N20" i="41"/>
  <c r="O19" i="41"/>
  <c r="N19" i="41"/>
  <c r="O18" i="41"/>
  <c r="O17" i="41"/>
  <c r="J17" i="41"/>
  <c r="N16" i="41"/>
  <c r="M16" i="41"/>
  <c r="N15" i="41"/>
  <c r="O15" i="41"/>
  <c r="J15" i="41"/>
  <c r="O14" i="41"/>
  <c r="O13" i="41"/>
  <c r="N13" i="41"/>
  <c r="O12" i="41"/>
  <c r="O11" i="41"/>
  <c r="O10" i="41"/>
  <c r="N10" i="41"/>
  <c r="O9" i="41"/>
  <c r="N9" i="41"/>
  <c r="O8" i="41"/>
  <c r="N8" i="41"/>
  <c r="N7" i="41"/>
  <c r="M7" i="41"/>
  <c r="O7" i="41" s="1"/>
  <c r="N6" i="41"/>
  <c r="M6" i="41"/>
  <c r="O6" i="41" s="1"/>
  <c r="N5" i="41"/>
  <c r="N51" i="41" s="1"/>
  <c r="M5" i="41"/>
  <c r="K5" i="41"/>
  <c r="J146" i="41" l="1"/>
  <c r="M52" i="41"/>
  <c r="M143" i="41"/>
  <c r="O131" i="41"/>
  <c r="M63" i="41"/>
  <c r="J147" i="41"/>
  <c r="M109" i="41"/>
  <c r="N143" i="41"/>
  <c r="N52" i="41"/>
  <c r="O48" i="41"/>
  <c r="O58" i="41"/>
  <c r="M75" i="41"/>
  <c r="O111" i="41"/>
  <c r="K143" i="41"/>
  <c r="K149" i="41"/>
  <c r="N53" i="41"/>
  <c r="J149" i="41"/>
  <c r="M62" i="41"/>
  <c r="N75" i="41"/>
  <c r="N74" i="41"/>
  <c r="K95" i="41"/>
  <c r="O95" i="41" s="1"/>
  <c r="O107" i="41" s="1"/>
  <c r="N118" i="41"/>
  <c r="M51" i="41"/>
  <c r="M146" i="41" s="1"/>
  <c r="O16" i="41"/>
  <c r="O25" i="41"/>
  <c r="O55" i="41" s="1"/>
  <c r="O150" i="41" s="1"/>
  <c r="O66" i="41"/>
  <c r="O74" i="41" s="1"/>
  <c r="O68" i="41"/>
  <c r="O73" i="41" s="1"/>
  <c r="K108" i="41"/>
  <c r="N108" i="41"/>
  <c r="O128" i="41"/>
  <c r="O60" i="41"/>
  <c r="O108" i="41"/>
  <c r="K118" i="41"/>
  <c r="K51" i="41"/>
  <c r="O5" i="41"/>
  <c r="J53" i="41"/>
  <c r="J148" i="41" s="1"/>
  <c r="N55" i="41"/>
  <c r="N150" i="41" s="1"/>
  <c r="M54" i="41"/>
  <c r="M108" i="41"/>
  <c r="M147" i="41" s="1"/>
  <c r="O121" i="41"/>
  <c r="N109" i="41"/>
  <c r="N149" i="41"/>
  <c r="N146" i="41"/>
  <c r="O118" i="41"/>
  <c r="M149" i="41"/>
  <c r="O53" i="41"/>
  <c r="K148" i="41"/>
  <c r="O63" i="41"/>
  <c r="M53" i="41"/>
  <c r="M148" i="41" s="1"/>
  <c r="O56" i="41"/>
  <c r="K62" i="41"/>
  <c r="O151" i="41"/>
  <c r="O31" i="41"/>
  <c r="O41" i="41"/>
  <c r="O69" i="41"/>
  <c r="O124" i="41"/>
  <c r="O77" i="41"/>
  <c r="M56" i="40"/>
  <c r="O56" i="40" s="1"/>
  <c r="N148" i="41" l="1"/>
  <c r="K107" i="41"/>
  <c r="K146" i="41" s="1"/>
  <c r="N147" i="41"/>
  <c r="K147" i="41"/>
  <c r="O54" i="41"/>
  <c r="O149" i="41" s="1"/>
  <c r="O143" i="41"/>
  <c r="O62" i="41"/>
  <c r="O75" i="41"/>
  <c r="O52" i="41"/>
  <c r="O51" i="41"/>
  <c r="O146" i="41" s="1"/>
  <c r="O109" i="41"/>
  <c r="N66" i="40"/>
  <c r="O148" i="41" l="1"/>
  <c r="O147" i="41"/>
  <c r="O104" i="40"/>
  <c r="N104" i="40"/>
  <c r="M104" i="40"/>
  <c r="N94" i="40" l="1"/>
  <c r="M94" i="40"/>
  <c r="N72" i="40"/>
  <c r="N71" i="40"/>
  <c r="M71" i="40"/>
  <c r="O23" i="40" l="1"/>
  <c r="O24" i="40"/>
  <c r="N43" i="40" l="1"/>
  <c r="N47" i="40"/>
  <c r="N48" i="40"/>
  <c r="M47" i="40"/>
  <c r="M48" i="40"/>
  <c r="N69" i="40" l="1"/>
  <c r="M69" i="40"/>
  <c r="M66" i="40" l="1"/>
  <c r="N105" i="40"/>
  <c r="M105" i="40"/>
  <c r="K41" i="40" l="1"/>
  <c r="N36" i="40" l="1"/>
  <c r="N37" i="40"/>
  <c r="N38" i="40"/>
  <c r="N5" i="40"/>
  <c r="N10" i="40"/>
  <c r="N9" i="40"/>
  <c r="N8" i="40"/>
  <c r="N13" i="40"/>
  <c r="N7" i="40"/>
  <c r="N68" i="40" l="1"/>
  <c r="N45" i="40"/>
  <c r="N44" i="40"/>
  <c r="N29" i="40" l="1"/>
  <c r="M111" i="40"/>
  <c r="M100" i="40"/>
  <c r="M123" i="40"/>
  <c r="M38" i="40"/>
  <c r="M37" i="40"/>
  <c r="M36" i="40"/>
  <c r="M68" i="40"/>
  <c r="M7" i="40"/>
  <c r="M5" i="40"/>
  <c r="M29" i="40"/>
  <c r="M43" i="40"/>
  <c r="M44" i="40"/>
  <c r="M45" i="40"/>
  <c r="O46" i="40" l="1"/>
  <c r="O42" i="40"/>
  <c r="K151" i="40"/>
  <c r="J151" i="40"/>
  <c r="L150" i="40"/>
  <c r="L149" i="40"/>
  <c r="L148" i="40"/>
  <c r="L147" i="40"/>
  <c r="L146" i="40"/>
  <c r="J145" i="40"/>
  <c r="J144" i="40"/>
  <c r="M142" i="40"/>
  <c r="J142" i="40"/>
  <c r="O141" i="40"/>
  <c r="O140" i="40"/>
  <c r="N140" i="40"/>
  <c r="N139" i="40"/>
  <c r="M139" i="40"/>
  <c r="O139" i="40" s="1"/>
  <c r="O138" i="40"/>
  <c r="N138" i="40"/>
  <c r="O137" i="40"/>
  <c r="N137" i="40"/>
  <c r="O136" i="40"/>
  <c r="N136" i="40"/>
  <c r="N135" i="40"/>
  <c r="M135" i="40"/>
  <c r="O135" i="40" s="1"/>
  <c r="N134" i="40"/>
  <c r="O134" i="40" s="1"/>
  <c r="M134" i="40"/>
  <c r="N133" i="40"/>
  <c r="K133" i="40"/>
  <c r="O133" i="40" s="1"/>
  <c r="O132" i="40"/>
  <c r="N132" i="40"/>
  <c r="N131" i="40"/>
  <c r="M131" i="40"/>
  <c r="K131" i="40"/>
  <c r="J131" i="40"/>
  <c r="N130" i="40"/>
  <c r="M130" i="40"/>
  <c r="O130" i="40" s="1"/>
  <c r="O129" i="40"/>
  <c r="N129" i="40"/>
  <c r="N128" i="40"/>
  <c r="M128" i="40"/>
  <c r="K128" i="40"/>
  <c r="O127" i="40"/>
  <c r="N127" i="40"/>
  <c r="O126" i="40"/>
  <c r="N126" i="40"/>
  <c r="O125" i="40"/>
  <c r="K124" i="40"/>
  <c r="O124" i="40" s="1"/>
  <c r="J124" i="40"/>
  <c r="N123" i="40"/>
  <c r="O123" i="40"/>
  <c r="O122" i="40"/>
  <c r="N121" i="40"/>
  <c r="M121" i="40"/>
  <c r="O121" i="40" s="1"/>
  <c r="O120" i="40"/>
  <c r="O145" i="40" s="1"/>
  <c r="N120" i="40"/>
  <c r="N145" i="40" s="1"/>
  <c r="M120" i="40"/>
  <c r="M145" i="40" s="1"/>
  <c r="K120" i="40"/>
  <c r="K145" i="40" s="1"/>
  <c r="J120" i="40"/>
  <c r="O119" i="40"/>
  <c r="O144" i="40" s="1"/>
  <c r="N119" i="40"/>
  <c r="N144" i="40" s="1"/>
  <c r="M119" i="40"/>
  <c r="M144" i="40" s="1"/>
  <c r="K119" i="40"/>
  <c r="K144" i="40" s="1"/>
  <c r="J119" i="40"/>
  <c r="O117" i="40"/>
  <c r="O142" i="40" s="1"/>
  <c r="N117" i="40"/>
  <c r="N142" i="40" s="1"/>
  <c r="M117" i="40"/>
  <c r="K117" i="40"/>
  <c r="K142" i="40" s="1"/>
  <c r="J117" i="40"/>
  <c r="N116" i="40"/>
  <c r="M116" i="40"/>
  <c r="K116" i="40"/>
  <c r="K118" i="40" s="1"/>
  <c r="J116" i="40"/>
  <c r="O115" i="40"/>
  <c r="O114" i="40"/>
  <c r="N114" i="40"/>
  <c r="O113" i="40"/>
  <c r="N113" i="40"/>
  <c r="O112" i="40"/>
  <c r="N112" i="40"/>
  <c r="O111" i="40"/>
  <c r="J111" i="40"/>
  <c r="O110" i="40"/>
  <c r="N110" i="40"/>
  <c r="M110" i="40"/>
  <c r="K110" i="40"/>
  <c r="J110" i="40"/>
  <c r="J109" i="40"/>
  <c r="J108" i="40"/>
  <c r="O106" i="40"/>
  <c r="N106" i="40"/>
  <c r="O105" i="40"/>
  <c r="O103" i="40"/>
  <c r="N102" i="40"/>
  <c r="M102" i="40"/>
  <c r="O102" i="40" s="1"/>
  <c r="O101" i="40"/>
  <c r="O100" i="40"/>
  <c r="O99" i="40"/>
  <c r="O98" i="40"/>
  <c r="O97" i="40"/>
  <c r="N95" i="40"/>
  <c r="J95" i="40"/>
  <c r="J107" i="40" s="1"/>
  <c r="O94" i="40"/>
  <c r="O93" i="40"/>
  <c r="N93" i="40"/>
  <c r="N92" i="40"/>
  <c r="M92" i="40"/>
  <c r="O92" i="40" s="1"/>
  <c r="N91" i="40"/>
  <c r="M91" i="40"/>
  <c r="O91" i="40" s="1"/>
  <c r="N90" i="40"/>
  <c r="M90" i="40"/>
  <c r="O90" i="40" s="1"/>
  <c r="N89" i="40"/>
  <c r="M89" i="40"/>
  <c r="O89" i="40" s="1"/>
  <c r="N88" i="40"/>
  <c r="M88" i="40"/>
  <c r="O88" i="40" s="1"/>
  <c r="K87" i="40"/>
  <c r="O87" i="40" s="1"/>
  <c r="O86" i="40"/>
  <c r="O85" i="40"/>
  <c r="O84" i="40"/>
  <c r="N83" i="40"/>
  <c r="M83" i="40"/>
  <c r="K109" i="40"/>
  <c r="N82" i="40"/>
  <c r="M82" i="40"/>
  <c r="O82" i="40" s="1"/>
  <c r="K81" i="40"/>
  <c r="K80" i="40"/>
  <c r="O79" i="40"/>
  <c r="N78" i="40"/>
  <c r="M78" i="40"/>
  <c r="M107" i="40" s="1"/>
  <c r="N77" i="40"/>
  <c r="M77" i="40"/>
  <c r="O76" i="40"/>
  <c r="N76" i="40"/>
  <c r="M76" i="40"/>
  <c r="K76" i="40"/>
  <c r="J76" i="40"/>
  <c r="K75" i="40"/>
  <c r="J75" i="40"/>
  <c r="K74" i="40"/>
  <c r="J74" i="40"/>
  <c r="K73" i="40"/>
  <c r="J73" i="40"/>
  <c r="O72" i="40"/>
  <c r="O71" i="40"/>
  <c r="N70" i="40"/>
  <c r="M70" i="40"/>
  <c r="O70" i="40" s="1"/>
  <c r="O69" i="40"/>
  <c r="N73" i="40"/>
  <c r="M73" i="40"/>
  <c r="O67" i="40"/>
  <c r="M74" i="40"/>
  <c r="O65" i="40"/>
  <c r="N65" i="40"/>
  <c r="M65" i="40"/>
  <c r="K65" i="40"/>
  <c r="J65" i="40"/>
  <c r="O64" i="40"/>
  <c r="N64" i="40"/>
  <c r="M64" i="40"/>
  <c r="K64" i="40"/>
  <c r="J64" i="40"/>
  <c r="N63" i="40"/>
  <c r="K63" i="40"/>
  <c r="J63" i="40"/>
  <c r="J62" i="40"/>
  <c r="M61" i="40"/>
  <c r="O61" i="40" s="1"/>
  <c r="M60" i="40"/>
  <c r="K60" i="40"/>
  <c r="K62" i="40" s="1"/>
  <c r="N59" i="40"/>
  <c r="N62" i="40" s="1"/>
  <c r="M59" i="40"/>
  <c r="O59" i="40" s="1"/>
  <c r="M58" i="40"/>
  <c r="M57" i="40"/>
  <c r="O57" i="40" s="1"/>
  <c r="K55" i="40"/>
  <c r="K150" i="40" s="1"/>
  <c r="J55" i="40"/>
  <c r="J150" i="40" s="1"/>
  <c r="K54" i="40"/>
  <c r="J54" i="40"/>
  <c r="K53" i="40"/>
  <c r="J52" i="40"/>
  <c r="J51" i="40"/>
  <c r="O50" i="40"/>
  <c r="N50" i="40"/>
  <c r="O49" i="40"/>
  <c r="N49" i="40"/>
  <c r="K48" i="40"/>
  <c r="K52" i="40" s="1"/>
  <c r="O47" i="40"/>
  <c r="O45" i="40"/>
  <c r="O44" i="40"/>
  <c r="O43" i="40"/>
  <c r="O41" i="40"/>
  <c r="N40" i="40"/>
  <c r="M40" i="40"/>
  <c r="O40" i="40" s="1"/>
  <c r="N39" i="40"/>
  <c r="M39" i="40"/>
  <c r="O39" i="40" s="1"/>
  <c r="O38" i="40"/>
  <c r="O37" i="40"/>
  <c r="O36" i="40"/>
  <c r="O35" i="40"/>
  <c r="N35" i="40"/>
  <c r="N34" i="40"/>
  <c r="M34" i="40"/>
  <c r="O34" i="40" s="1"/>
  <c r="N33" i="40"/>
  <c r="M33" i="40"/>
  <c r="O33" i="40" s="1"/>
  <c r="N32" i="40"/>
  <c r="M32" i="40"/>
  <c r="O32" i="40" s="1"/>
  <c r="N31" i="40"/>
  <c r="M31" i="40"/>
  <c r="O31" i="40" s="1"/>
  <c r="N30" i="40"/>
  <c r="M30" i="40"/>
  <c r="O30" i="40" s="1"/>
  <c r="O29" i="40"/>
  <c r="N28" i="40"/>
  <c r="M28" i="40"/>
  <c r="O28" i="40" s="1"/>
  <c r="N27" i="40"/>
  <c r="M27" i="40"/>
  <c r="O27" i="40" s="1"/>
  <c r="N26" i="40"/>
  <c r="M26" i="40"/>
  <c r="O26" i="40" s="1"/>
  <c r="N25" i="40"/>
  <c r="M25" i="40"/>
  <c r="O22" i="40"/>
  <c r="N22" i="40"/>
  <c r="O21" i="40"/>
  <c r="N21" i="40"/>
  <c r="O20" i="40"/>
  <c r="N20" i="40"/>
  <c r="O19" i="40"/>
  <c r="N19" i="40"/>
  <c r="N18" i="40"/>
  <c r="M18" i="40"/>
  <c r="O18" i="40" s="1"/>
  <c r="N17" i="40"/>
  <c r="M17" i="40"/>
  <c r="O17" i="40" s="1"/>
  <c r="J17" i="40"/>
  <c r="N16" i="40"/>
  <c r="M16" i="40"/>
  <c r="N15" i="40"/>
  <c r="M15" i="40"/>
  <c r="J15" i="40"/>
  <c r="O14" i="40"/>
  <c r="O13" i="40"/>
  <c r="O12" i="40"/>
  <c r="O11" i="40"/>
  <c r="O10" i="40"/>
  <c r="O9" i="40"/>
  <c r="O8" i="40"/>
  <c r="O7" i="40"/>
  <c r="N6" i="40"/>
  <c r="M6" i="40"/>
  <c r="O6" i="40" s="1"/>
  <c r="K5" i="40"/>
  <c r="K51" i="40" s="1"/>
  <c r="O78" i="40" l="1"/>
  <c r="K108" i="40"/>
  <c r="N107" i="40"/>
  <c r="O128" i="40"/>
  <c r="J149" i="40"/>
  <c r="M63" i="40"/>
  <c r="O83" i="40"/>
  <c r="M52" i="40"/>
  <c r="M55" i="40"/>
  <c r="M150" i="40" s="1"/>
  <c r="O58" i="40"/>
  <c r="O68" i="40"/>
  <c r="O73" i="40" s="1"/>
  <c r="J53" i="40"/>
  <c r="J148" i="40" s="1"/>
  <c r="K149" i="40"/>
  <c r="N75" i="40"/>
  <c r="N54" i="40"/>
  <c r="N149" i="40" s="1"/>
  <c r="M53" i="40"/>
  <c r="O66" i="40"/>
  <c r="K143" i="40"/>
  <c r="O131" i="40"/>
  <c r="N53" i="40"/>
  <c r="O16" i="40"/>
  <c r="N55" i="40"/>
  <c r="N150" i="40" s="1"/>
  <c r="M54" i="40"/>
  <c r="M149" i="40" s="1"/>
  <c r="O48" i="40"/>
  <c r="M62" i="40"/>
  <c r="M108" i="40"/>
  <c r="K95" i="40"/>
  <c r="O95" i="40" s="1"/>
  <c r="O116" i="40"/>
  <c r="M51" i="40"/>
  <c r="N52" i="40"/>
  <c r="O60" i="40"/>
  <c r="M109" i="40"/>
  <c r="N108" i="40"/>
  <c r="N51" i="40"/>
  <c r="O54" i="40"/>
  <c r="O149" i="40" s="1"/>
  <c r="K148" i="40"/>
  <c r="N74" i="40"/>
  <c r="N109" i="40"/>
  <c r="J118" i="40"/>
  <c r="N118" i="40"/>
  <c r="N143" i="40"/>
  <c r="J146" i="40"/>
  <c r="O63" i="40"/>
  <c r="O75" i="40"/>
  <c r="O5" i="40"/>
  <c r="O74" i="40"/>
  <c r="M75" i="40"/>
  <c r="O77" i="40"/>
  <c r="O80" i="40"/>
  <c r="O81" i="40"/>
  <c r="J143" i="40"/>
  <c r="O151" i="40"/>
  <c r="O15" i="40"/>
  <c r="O25" i="40"/>
  <c r="M118" i="40"/>
  <c r="M143" i="40"/>
  <c r="J147" i="40" l="1"/>
  <c r="O118" i="40"/>
  <c r="N146" i="40"/>
  <c r="K147" i="40"/>
  <c r="M147" i="40"/>
  <c r="M148" i="40"/>
  <c r="O143" i="40"/>
  <c r="N148" i="40"/>
  <c r="O52" i="40"/>
  <c r="N147" i="40"/>
  <c r="O62" i="40"/>
  <c r="M146" i="40"/>
  <c r="K107" i="40"/>
  <c r="K146" i="40" s="1"/>
  <c r="O107" i="40"/>
  <c r="O55" i="40"/>
  <c r="O150" i="40" s="1"/>
  <c r="O108" i="40"/>
  <c r="O109" i="40"/>
  <c r="O51" i="40"/>
  <c r="O53" i="40"/>
  <c r="O148" i="40" l="1"/>
  <c r="O146" i="40"/>
  <c r="O147" i="40"/>
  <c r="S107" i="26" l="1"/>
  <c r="P148" i="26"/>
  <c r="S62" i="26" l="1"/>
  <c r="R62" i="26"/>
  <c r="S98" i="26"/>
  <c r="S137" i="26" l="1"/>
  <c r="R137" i="26"/>
  <c r="S65" i="26"/>
  <c r="R65" i="26"/>
  <c r="R89" i="26" l="1"/>
  <c r="R88" i="26"/>
  <c r="R87" i="26"/>
  <c r="R86" i="26"/>
  <c r="S91" i="26" l="1"/>
  <c r="R91" i="26"/>
  <c r="P76" i="26"/>
  <c r="R123" i="26" l="1"/>
  <c r="R116" i="26"/>
  <c r="R39" i="26"/>
  <c r="S8" i="26"/>
  <c r="R27" i="26"/>
  <c r="S27" i="26"/>
  <c r="R28" i="26" l="1"/>
  <c r="S28" i="26"/>
  <c r="S133" i="26" l="1"/>
  <c r="S116" i="26"/>
  <c r="R64" i="26"/>
  <c r="S64" i="26"/>
  <c r="R36" i="26" l="1"/>
  <c r="S13" i="26"/>
  <c r="R6" i="26"/>
  <c r="R5" i="26"/>
  <c r="S6" i="26"/>
  <c r="R35" i="26" l="1"/>
  <c r="R34" i="26"/>
  <c r="R7" i="26" l="1"/>
  <c r="S7" i="26"/>
  <c r="S9" i="26"/>
  <c r="S10" i="26"/>
  <c r="S128" i="26"/>
  <c r="S41" i="26"/>
  <c r="S40" i="26"/>
  <c r="R41" i="26"/>
  <c r="R40" i="26"/>
  <c r="T148" i="26" l="1"/>
  <c r="U148" i="26" s="1"/>
  <c r="P151" i="26"/>
  <c r="O148" i="26"/>
  <c r="N148" i="26"/>
  <c r="U147" i="26"/>
  <c r="Q147" i="26"/>
  <c r="O147" i="26"/>
  <c r="U146" i="26"/>
  <c r="Q146" i="26"/>
  <c r="O146" i="26"/>
  <c r="Q145" i="26"/>
  <c r="U144" i="26"/>
  <c r="Q144" i="26"/>
  <c r="O144" i="26"/>
  <c r="U143" i="26"/>
  <c r="Q143" i="26"/>
  <c r="O143" i="26"/>
  <c r="T142" i="26"/>
  <c r="S142" i="26"/>
  <c r="R142" i="26"/>
  <c r="P142" i="26"/>
  <c r="N142" i="26"/>
  <c r="T141" i="26"/>
  <c r="S141" i="26"/>
  <c r="R141" i="26"/>
  <c r="P141" i="26"/>
  <c r="N141" i="26"/>
  <c r="T139" i="26"/>
  <c r="S139" i="26"/>
  <c r="R139" i="26"/>
  <c r="P139" i="26"/>
  <c r="N139" i="26"/>
  <c r="S138" i="26"/>
  <c r="R138" i="26"/>
  <c r="T138" i="26" s="1"/>
  <c r="U138" i="26" s="1"/>
  <c r="O138" i="26"/>
  <c r="T137" i="26"/>
  <c r="U137" i="26" s="1"/>
  <c r="O137" i="26"/>
  <c r="T136" i="26"/>
  <c r="U136" i="26" s="1"/>
  <c r="S136" i="26"/>
  <c r="O136" i="26"/>
  <c r="T135" i="26"/>
  <c r="U135" i="26" s="1"/>
  <c r="O135" i="26"/>
  <c r="T134" i="26"/>
  <c r="U134" i="26" s="1"/>
  <c r="O134" i="26"/>
  <c r="T133" i="26"/>
  <c r="U133" i="26" s="1"/>
  <c r="O133" i="26"/>
  <c r="S132" i="26"/>
  <c r="R132" i="26"/>
  <c r="T132" i="26" s="1"/>
  <c r="U132" i="26" s="1"/>
  <c r="O132" i="26"/>
  <c r="T131" i="26"/>
  <c r="U131" i="26" s="1"/>
  <c r="S131" i="26"/>
  <c r="O131" i="26"/>
  <c r="T130" i="26"/>
  <c r="U130" i="26" s="1"/>
  <c r="S130" i="26"/>
  <c r="O130" i="26"/>
  <c r="T129" i="26"/>
  <c r="U129" i="26" s="1"/>
  <c r="S129" i="26"/>
  <c r="O129" i="26"/>
  <c r="R128" i="26"/>
  <c r="T128" i="26" s="1"/>
  <c r="U128" i="26" s="1"/>
  <c r="O128" i="26"/>
  <c r="S127" i="26"/>
  <c r="T127" i="26" s="1"/>
  <c r="U127" i="26" s="1"/>
  <c r="R127" i="26"/>
  <c r="O127" i="26"/>
  <c r="S126" i="26"/>
  <c r="P126" i="26"/>
  <c r="T126" i="26" s="1"/>
  <c r="U126" i="26" s="1"/>
  <c r="O126" i="26"/>
  <c r="U125" i="26"/>
  <c r="T125" i="26"/>
  <c r="S125" i="26"/>
  <c r="O125" i="26"/>
  <c r="S124" i="26"/>
  <c r="R124" i="26"/>
  <c r="P124" i="26"/>
  <c r="T124" i="26" s="1"/>
  <c r="U124" i="26" s="1"/>
  <c r="N124" i="26"/>
  <c r="O124" i="26" s="1"/>
  <c r="T123" i="26"/>
  <c r="U123" i="26" s="1"/>
  <c r="S123" i="26"/>
  <c r="O123" i="26"/>
  <c r="T122" i="26"/>
  <c r="U122" i="26" s="1"/>
  <c r="S122" i="26"/>
  <c r="O122" i="26"/>
  <c r="S121" i="26"/>
  <c r="R121" i="26"/>
  <c r="P121" i="26"/>
  <c r="O121" i="26"/>
  <c r="T120" i="26"/>
  <c r="U120" i="26" s="1"/>
  <c r="S120" i="26"/>
  <c r="O120" i="26"/>
  <c r="T119" i="26"/>
  <c r="U119" i="26" s="1"/>
  <c r="S119" i="26"/>
  <c r="O119" i="26"/>
  <c r="T118" i="26"/>
  <c r="U118" i="26" s="1"/>
  <c r="O118" i="26"/>
  <c r="P117" i="26"/>
  <c r="P140" i="26" s="1"/>
  <c r="N117" i="26"/>
  <c r="O117" i="26" s="1"/>
  <c r="T116" i="26"/>
  <c r="U116" i="26" s="1"/>
  <c r="O116" i="26"/>
  <c r="T115" i="26"/>
  <c r="U115" i="26" s="1"/>
  <c r="O115" i="26"/>
  <c r="S114" i="26"/>
  <c r="S140" i="26" s="1"/>
  <c r="R114" i="26"/>
  <c r="R140" i="26" s="1"/>
  <c r="O114" i="26"/>
  <c r="T113" i="26"/>
  <c r="S113" i="26"/>
  <c r="R113" i="26"/>
  <c r="P113" i="26"/>
  <c r="N113" i="26"/>
  <c r="T112" i="26"/>
  <c r="S112" i="26"/>
  <c r="R112" i="26"/>
  <c r="P112" i="26"/>
  <c r="N112" i="26"/>
  <c r="T110" i="26"/>
  <c r="S110" i="26"/>
  <c r="R110" i="26"/>
  <c r="P110" i="26"/>
  <c r="N110" i="26"/>
  <c r="T109" i="26"/>
  <c r="U109" i="26" s="1"/>
  <c r="S109" i="26"/>
  <c r="O109" i="26"/>
  <c r="T108" i="26"/>
  <c r="U108" i="26" s="1"/>
  <c r="S108" i="26"/>
  <c r="O108" i="26"/>
  <c r="T107" i="26"/>
  <c r="U107" i="26" s="1"/>
  <c r="O107" i="26"/>
  <c r="T106" i="26"/>
  <c r="U106" i="26" s="1"/>
  <c r="O106" i="26"/>
  <c r="S105" i="26"/>
  <c r="S111" i="26" s="1"/>
  <c r="R105" i="26"/>
  <c r="P105" i="26"/>
  <c r="T105" i="26" s="1"/>
  <c r="N105" i="26"/>
  <c r="O105" i="26" s="1"/>
  <c r="R104" i="26"/>
  <c r="R111" i="26" s="1"/>
  <c r="N104" i="26"/>
  <c r="N111" i="26" s="1"/>
  <c r="T103" i="26"/>
  <c r="S103" i="26"/>
  <c r="R103" i="26"/>
  <c r="P103" i="26"/>
  <c r="N103" i="26"/>
  <c r="P102" i="26"/>
  <c r="N102" i="26"/>
  <c r="N101" i="26"/>
  <c r="T99" i="26"/>
  <c r="U99" i="26" s="1"/>
  <c r="S99" i="26"/>
  <c r="O99" i="26"/>
  <c r="T98" i="26"/>
  <c r="U98" i="26" s="1"/>
  <c r="O98" i="26"/>
  <c r="T97" i="26"/>
  <c r="U97" i="26" s="1"/>
  <c r="O97" i="26"/>
  <c r="U96" i="26"/>
  <c r="T96" i="26"/>
  <c r="O96" i="26"/>
  <c r="T95" i="26"/>
  <c r="U95" i="26" s="1"/>
  <c r="O95" i="26"/>
  <c r="U94" i="26"/>
  <c r="T94" i="26"/>
  <c r="O94" i="26"/>
  <c r="T93" i="26"/>
  <c r="U93" i="26" s="1"/>
  <c r="O93" i="26"/>
  <c r="S92" i="26"/>
  <c r="N92" i="26"/>
  <c r="N100" i="26" s="1"/>
  <c r="U91" i="26"/>
  <c r="O91" i="26"/>
  <c r="U90" i="26"/>
  <c r="S90" i="26"/>
  <c r="O90" i="26"/>
  <c r="T89" i="26"/>
  <c r="U89" i="26" s="1"/>
  <c r="S89" i="26"/>
  <c r="O89" i="26"/>
  <c r="T88" i="26"/>
  <c r="U88" i="26" s="1"/>
  <c r="S88" i="26"/>
  <c r="O88" i="26"/>
  <c r="S87" i="26"/>
  <c r="T87" i="26"/>
  <c r="U87" i="26" s="1"/>
  <c r="O87" i="26"/>
  <c r="S86" i="26"/>
  <c r="T86" i="26"/>
  <c r="U86" i="26" s="1"/>
  <c r="O86" i="26"/>
  <c r="T85" i="26"/>
  <c r="U85" i="26" s="1"/>
  <c r="O85" i="26"/>
  <c r="U84" i="26"/>
  <c r="T84" i="26"/>
  <c r="O84" i="26"/>
  <c r="T83" i="26"/>
  <c r="U83" i="26" s="1"/>
  <c r="P83" i="26"/>
  <c r="O83" i="26"/>
  <c r="T82" i="26"/>
  <c r="U82" i="26" s="1"/>
  <c r="O82" i="26"/>
  <c r="U81" i="26"/>
  <c r="T81" i="26"/>
  <c r="O81" i="26"/>
  <c r="T80" i="26"/>
  <c r="U80" i="26" s="1"/>
  <c r="O80" i="26"/>
  <c r="S79" i="26"/>
  <c r="R79" i="26"/>
  <c r="T79" i="26" s="1"/>
  <c r="U79" i="26" s="1"/>
  <c r="O79" i="26"/>
  <c r="S78" i="26"/>
  <c r="R78" i="26"/>
  <c r="R101" i="26" s="1"/>
  <c r="O78" i="26"/>
  <c r="P77" i="26"/>
  <c r="P101" i="26" s="1"/>
  <c r="O77" i="26"/>
  <c r="T76" i="26"/>
  <c r="U76" i="26" s="1"/>
  <c r="O76" i="26"/>
  <c r="T75" i="26"/>
  <c r="U75" i="26" s="1"/>
  <c r="O75" i="26"/>
  <c r="S74" i="26"/>
  <c r="S100" i="26" s="1"/>
  <c r="R74" i="26"/>
  <c r="T74" i="26" s="1"/>
  <c r="O74" i="26"/>
  <c r="S73" i="26"/>
  <c r="R73" i="26"/>
  <c r="O73" i="26"/>
  <c r="T72" i="26"/>
  <c r="S72" i="26"/>
  <c r="R72" i="26"/>
  <c r="P72" i="26"/>
  <c r="N72" i="26"/>
  <c r="S71" i="26"/>
  <c r="P71" i="26"/>
  <c r="N71" i="26"/>
  <c r="P70" i="26"/>
  <c r="N70" i="26"/>
  <c r="R69" i="26"/>
  <c r="P69" i="26"/>
  <c r="N69" i="26"/>
  <c r="T68" i="26"/>
  <c r="U68" i="26" s="1"/>
  <c r="S68" i="26"/>
  <c r="O68" i="26"/>
  <c r="S67" i="26"/>
  <c r="S70" i="26" s="1"/>
  <c r="R67" i="26"/>
  <c r="T67" i="26" s="1"/>
  <c r="U67" i="26" s="1"/>
  <c r="O67" i="26"/>
  <c r="S66" i="26"/>
  <c r="R66" i="26"/>
  <c r="T66" i="26" s="1"/>
  <c r="U66" i="26" s="1"/>
  <c r="O66" i="26"/>
  <c r="R71" i="26"/>
  <c r="O65" i="26"/>
  <c r="S69" i="26"/>
  <c r="T64" i="26"/>
  <c r="O64" i="26"/>
  <c r="J64" i="26"/>
  <c r="U63" i="26"/>
  <c r="T63" i="26"/>
  <c r="O63" i="26"/>
  <c r="T62" i="26"/>
  <c r="R70" i="26"/>
  <c r="O62" i="26"/>
  <c r="T61" i="26"/>
  <c r="S61" i="26"/>
  <c r="R61" i="26"/>
  <c r="P61" i="26"/>
  <c r="N61" i="26"/>
  <c r="T60" i="26"/>
  <c r="S60" i="26"/>
  <c r="R60" i="26"/>
  <c r="P60" i="26"/>
  <c r="N60" i="26"/>
  <c r="P59" i="26"/>
  <c r="N59" i="26"/>
  <c r="P58" i="26"/>
  <c r="N58" i="26"/>
  <c r="S57" i="26"/>
  <c r="R57" i="26"/>
  <c r="T57" i="26" s="1"/>
  <c r="U57" i="26" s="1"/>
  <c r="O57" i="26"/>
  <c r="J57" i="26"/>
  <c r="S56" i="26"/>
  <c r="R56" i="26"/>
  <c r="T56" i="26" s="1"/>
  <c r="U56" i="26" s="1"/>
  <c r="O56" i="26"/>
  <c r="J56" i="26"/>
  <c r="T55" i="26"/>
  <c r="U55" i="26" s="1"/>
  <c r="R55" i="26"/>
  <c r="O55" i="26"/>
  <c r="J55" i="26"/>
  <c r="S54" i="26"/>
  <c r="S59" i="26" s="1"/>
  <c r="R54" i="26"/>
  <c r="R59" i="26" s="1"/>
  <c r="S53" i="26"/>
  <c r="R53" i="26"/>
  <c r="T53" i="26" s="1"/>
  <c r="U53" i="26" s="1"/>
  <c r="O53" i="26"/>
  <c r="G53" i="26"/>
  <c r="J53" i="26" s="1"/>
  <c r="S52" i="26"/>
  <c r="R52" i="26"/>
  <c r="O52" i="26"/>
  <c r="J52" i="26"/>
  <c r="S51" i="26"/>
  <c r="S147" i="26" s="1"/>
  <c r="P51" i="26"/>
  <c r="P147" i="26" s="1"/>
  <c r="N51" i="26"/>
  <c r="N147" i="26" s="1"/>
  <c r="P50" i="26"/>
  <c r="N50" i="26"/>
  <c r="N146" i="26" s="1"/>
  <c r="P49" i="26"/>
  <c r="N48" i="26"/>
  <c r="N47" i="26"/>
  <c r="T46" i="26"/>
  <c r="U46" i="26" s="1"/>
  <c r="S46" i="26"/>
  <c r="O46" i="26"/>
  <c r="T45" i="26"/>
  <c r="U45" i="26" s="1"/>
  <c r="S45" i="26"/>
  <c r="O45" i="26"/>
  <c r="S44" i="26"/>
  <c r="R44" i="26"/>
  <c r="P44" i="26"/>
  <c r="P48" i="26" s="1"/>
  <c r="O44" i="26"/>
  <c r="S43" i="26"/>
  <c r="R43" i="26"/>
  <c r="T43" i="26" s="1"/>
  <c r="U43" i="26" s="1"/>
  <c r="O43" i="26"/>
  <c r="T42" i="26"/>
  <c r="U42" i="26" s="1"/>
  <c r="O42" i="26"/>
  <c r="T41" i="26"/>
  <c r="U41" i="26" s="1"/>
  <c r="O41" i="26"/>
  <c r="T40" i="26"/>
  <c r="U40" i="26" s="1"/>
  <c r="O40" i="26"/>
  <c r="S39" i="26"/>
  <c r="T39" i="26"/>
  <c r="U39" i="26" s="1"/>
  <c r="O39" i="26"/>
  <c r="S38" i="26"/>
  <c r="R38" i="26"/>
  <c r="T38" i="26" s="1"/>
  <c r="U38" i="26" s="1"/>
  <c r="O38" i="26"/>
  <c r="S37" i="26"/>
  <c r="R37" i="26"/>
  <c r="T37" i="26" s="1"/>
  <c r="U37" i="26" s="1"/>
  <c r="O37" i="26"/>
  <c r="J37" i="26"/>
  <c r="T36" i="26"/>
  <c r="U36" i="26" s="1"/>
  <c r="O36" i="26"/>
  <c r="J36" i="26"/>
  <c r="T35" i="26"/>
  <c r="U35" i="26" s="1"/>
  <c r="O35" i="26"/>
  <c r="J35" i="26"/>
  <c r="T34" i="26"/>
  <c r="U34" i="26" s="1"/>
  <c r="O34" i="26"/>
  <c r="J34" i="26"/>
  <c r="S33" i="26"/>
  <c r="R33" i="26"/>
  <c r="T33" i="26" s="1"/>
  <c r="U33" i="26" s="1"/>
  <c r="O33" i="26"/>
  <c r="I33" i="26"/>
  <c r="G33" i="26"/>
  <c r="F33" i="26"/>
  <c r="S32" i="26"/>
  <c r="R32" i="26"/>
  <c r="T32" i="26" s="1"/>
  <c r="U32" i="26" s="1"/>
  <c r="O32" i="26"/>
  <c r="S31" i="26"/>
  <c r="R31" i="26"/>
  <c r="T31" i="26" s="1"/>
  <c r="U31" i="26" s="1"/>
  <c r="O31" i="26"/>
  <c r="J31" i="26"/>
  <c r="S30" i="26"/>
  <c r="R30" i="26"/>
  <c r="T30" i="26" s="1"/>
  <c r="U30" i="26" s="1"/>
  <c r="O30" i="26"/>
  <c r="S29" i="26"/>
  <c r="S50" i="26" s="1"/>
  <c r="R29" i="26"/>
  <c r="O29" i="26"/>
  <c r="I29" i="26"/>
  <c r="G29" i="26"/>
  <c r="J29" i="26" s="1"/>
  <c r="F29" i="26"/>
  <c r="T28" i="26"/>
  <c r="U28" i="26" s="1"/>
  <c r="O28" i="26"/>
  <c r="T27" i="26"/>
  <c r="U27" i="26" s="1"/>
  <c r="O27" i="26"/>
  <c r="J27" i="26"/>
  <c r="S26" i="26"/>
  <c r="R26" i="26"/>
  <c r="T26" i="26" s="1"/>
  <c r="U26" i="26" s="1"/>
  <c r="O26" i="26"/>
  <c r="S25" i="26"/>
  <c r="R25" i="26"/>
  <c r="T25" i="26" s="1"/>
  <c r="U25" i="26" s="1"/>
  <c r="O25" i="26"/>
  <c r="S24" i="26"/>
  <c r="R24" i="26"/>
  <c r="T24" i="26" s="1"/>
  <c r="U24" i="26" s="1"/>
  <c r="O24" i="26"/>
  <c r="S23" i="26"/>
  <c r="R23" i="26"/>
  <c r="R51" i="26" s="1"/>
  <c r="R147" i="26" s="1"/>
  <c r="O23" i="26"/>
  <c r="G23" i="26"/>
  <c r="J23" i="26" s="1"/>
  <c r="T22" i="26"/>
  <c r="U22" i="26" s="1"/>
  <c r="S22" i="26"/>
  <c r="T21" i="26"/>
  <c r="U21" i="26" s="1"/>
  <c r="S21" i="26"/>
  <c r="O21" i="26"/>
  <c r="T20" i="26"/>
  <c r="U20" i="26" s="1"/>
  <c r="S20" i="26"/>
  <c r="O20" i="26"/>
  <c r="T19" i="26"/>
  <c r="U19" i="26" s="1"/>
  <c r="S19" i="26"/>
  <c r="O19" i="26"/>
  <c r="J19" i="26"/>
  <c r="T18" i="26"/>
  <c r="U18" i="26" s="1"/>
  <c r="O18" i="26"/>
  <c r="T17" i="26"/>
  <c r="U17" i="26" s="1"/>
  <c r="N17" i="26"/>
  <c r="O17" i="26" s="1"/>
  <c r="J17" i="26"/>
  <c r="S16" i="26"/>
  <c r="R16" i="26"/>
  <c r="O16" i="26"/>
  <c r="S15" i="26"/>
  <c r="R15" i="26"/>
  <c r="T15" i="26" s="1"/>
  <c r="N15" i="26"/>
  <c r="N49" i="26" s="1"/>
  <c r="N145" i="26" s="1"/>
  <c r="G15" i="26"/>
  <c r="J15" i="26" s="1"/>
  <c r="U14" i="26"/>
  <c r="T14" i="26"/>
  <c r="O14" i="26"/>
  <c r="T13" i="26"/>
  <c r="U13" i="26" s="1"/>
  <c r="O13" i="26"/>
  <c r="U12" i="26"/>
  <c r="T12" i="26"/>
  <c r="O12" i="26"/>
  <c r="T11" i="26"/>
  <c r="U11" i="26" s="1"/>
  <c r="O11" i="26"/>
  <c r="T10" i="26"/>
  <c r="S48" i="26"/>
  <c r="O10" i="26"/>
  <c r="P9" i="26"/>
  <c r="T9" i="26" s="1"/>
  <c r="U9" i="26" s="1"/>
  <c r="O9" i="26"/>
  <c r="J9" i="26"/>
  <c r="T8" i="26"/>
  <c r="U8" i="26" s="1"/>
  <c r="O8" i="26"/>
  <c r="J8" i="26"/>
  <c r="S47" i="26"/>
  <c r="T7" i="26"/>
  <c r="U7" i="26" s="1"/>
  <c r="O7" i="26"/>
  <c r="J7" i="26"/>
  <c r="T6" i="26"/>
  <c r="U6" i="26" s="1"/>
  <c r="O6" i="26"/>
  <c r="J6" i="26"/>
  <c r="P5" i="26"/>
  <c r="P47" i="26" s="1"/>
  <c r="O5" i="26"/>
  <c r="J5" i="26"/>
  <c r="T5" i="26" l="1"/>
  <c r="U5" i="26" s="1"/>
  <c r="R47" i="26"/>
  <c r="O15" i="26"/>
  <c r="S49" i="26"/>
  <c r="R48" i="26"/>
  <c r="T16" i="26"/>
  <c r="U16" i="26" s="1"/>
  <c r="R50" i="26"/>
  <c r="J33" i="26"/>
  <c r="T44" i="26"/>
  <c r="U44" i="26" s="1"/>
  <c r="N143" i="26"/>
  <c r="R58" i="26"/>
  <c r="T70" i="26"/>
  <c r="R102" i="26"/>
  <c r="T73" i="26"/>
  <c r="U73" i="26" s="1"/>
  <c r="T77" i="26"/>
  <c r="U77" i="26" s="1"/>
  <c r="S101" i="26"/>
  <c r="S144" i="26" s="1"/>
  <c r="S102" i="26"/>
  <c r="S145" i="26" s="1"/>
  <c r="O92" i="26"/>
  <c r="R100" i="26"/>
  <c r="T104" i="26"/>
  <c r="U104" i="26" s="1"/>
  <c r="T114" i="26"/>
  <c r="T121" i="26"/>
  <c r="U121" i="26" s="1"/>
  <c r="N140" i="26"/>
  <c r="N144" i="26" s="1"/>
  <c r="S58" i="26"/>
  <c r="T78" i="26"/>
  <c r="U78" i="26" s="1"/>
  <c r="P92" i="26"/>
  <c r="P146" i="26"/>
  <c r="P145" i="26"/>
  <c r="O60" i="26"/>
  <c r="O71" i="26"/>
  <c r="O141" i="26"/>
  <c r="O49" i="26"/>
  <c r="O102" i="26"/>
  <c r="R143" i="26"/>
  <c r="R146" i="26"/>
  <c r="S143" i="26"/>
  <c r="S146" i="26"/>
  <c r="R144" i="26"/>
  <c r="T69" i="26"/>
  <c r="U64" i="26"/>
  <c r="T101" i="26"/>
  <c r="U105" i="26"/>
  <c r="U112" i="26" s="1"/>
  <c r="T111" i="26"/>
  <c r="T47" i="26"/>
  <c r="U15" i="26"/>
  <c r="T49" i="26"/>
  <c r="T102" i="26"/>
  <c r="T48" i="26"/>
  <c r="T29" i="26"/>
  <c r="T54" i="26"/>
  <c r="U62" i="26"/>
  <c r="U74" i="26"/>
  <c r="O104" i="26"/>
  <c r="O112" i="26" s="1"/>
  <c r="P111" i="26"/>
  <c r="P144" i="26" s="1"/>
  <c r="U114" i="26"/>
  <c r="T117" i="26"/>
  <c r="U117" i="26" s="1"/>
  <c r="R49" i="26"/>
  <c r="R145" i="26" s="1"/>
  <c r="U10" i="26"/>
  <c r="T23" i="26"/>
  <c r="T52" i="26"/>
  <c r="T65" i="26"/>
  <c r="T92" i="26" l="1"/>
  <c r="P100" i="26"/>
  <c r="P143" i="26" s="1"/>
  <c r="O145" i="26"/>
  <c r="U52" i="26"/>
  <c r="T58" i="26"/>
  <c r="U23" i="26"/>
  <c r="T51" i="26"/>
  <c r="T147" i="26" s="1"/>
  <c r="U141" i="26"/>
  <c r="U54" i="26"/>
  <c r="T59" i="26"/>
  <c r="T151" i="26"/>
  <c r="U151" i="26" s="1"/>
  <c r="V151" i="26" s="1"/>
  <c r="U65" i="26"/>
  <c r="U71" i="26" s="1"/>
  <c r="T71" i="26"/>
  <c r="T145" i="26" s="1"/>
  <c r="U29" i="26"/>
  <c r="T50" i="26"/>
  <c r="T146" i="26" s="1"/>
  <c r="T140" i="26"/>
  <c r="U92" i="26" l="1"/>
  <c r="U102" i="26" s="1"/>
  <c r="T100" i="26"/>
  <c r="T143" i="26" s="1"/>
  <c r="T144" i="26"/>
  <c r="U49" i="26"/>
  <c r="U60" i="26"/>
  <c r="U145" i="26" l="1"/>
  <c r="T150" i="26" s="1"/>
  <c r="U150" i="26" s="1"/>
  <c r="T152" i="26" l="1"/>
  <c r="U152" i="26"/>
  <c r="V152" i="26" s="1"/>
  <c r="V150" i="26"/>
</calcChain>
</file>

<file path=xl/comments1.xml><?xml version="1.0" encoding="utf-8"?>
<comments xmlns="http://schemas.openxmlformats.org/spreadsheetml/2006/main">
  <authors>
    <author>Lusine Grigoryan</author>
    <author>Armen.Manukyan</author>
    <author>Susanna Sargsyan</author>
    <author>Armen Manukyan</author>
  </authors>
  <commentList>
    <comment ref="K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K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K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N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Q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N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Q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N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N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F2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37 մլն ԱՄՆ դոլար</t>
        </r>
      </text>
    </comment>
    <comment ref="N23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N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P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P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P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6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6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K7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19.07.2013թ. N 900-Ա որոշում</t>
        </r>
      </text>
    </comment>
    <comment ref="K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K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K8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K8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K85" authorId="1" shapeId="0">
      <text>
        <r>
          <rPr>
            <b/>
            <sz val="8"/>
            <color indexed="81"/>
            <rFont val="Tahoma"/>
            <family val="2"/>
          </rPr>
          <t>Armen.Manukyan:</t>
        </r>
        <r>
          <rPr>
            <sz val="8"/>
            <color indexed="81"/>
            <rFont val="Tahoma"/>
            <family val="2"/>
          </rPr>
          <t xml:space="preserve">
ՀՀ կառավարության 29.01.2016թ. N 73-Ն որոշում</t>
        </r>
      </text>
    </comment>
    <comment ref="R8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ՀՀ կառավարության 07.12.2017թ. N 1585-Ն որոշման համաձայն 163,143,274 դրամ գումարի չափով մայր գումարի նվազեցում</t>
        </r>
      </text>
    </comment>
    <comment ref="L98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L99" authorId="2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0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L104" authorId="3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P10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C10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R10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  <comment ref="B13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«Հայաստանի Զարգացման և Ներդրումների Զարգացման կորպորացիա» ՈՒՎԿ</t>
        </r>
      </text>
    </comment>
    <comment ref="N13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 մլրդ ՀՀ դրամ գումարը ՀՀ կառավարության 2017թ.  համապատասխան որոշմամբ ուղղվել այս ծրագրի վարկավորմանը
«Հայաստանի Ներդրումների և ջակցության կորպորացիա» միանվագ մարում 20.12.2030թ.</t>
        </r>
      </text>
    </comment>
    <comment ref="P13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 մլրդ ՀՀ դրամ գումարը ՀՀ կառավարության 2017թ.  համապատասխան որոշմամբ ուղղվել այս ծրագրի վարկավորմանը</t>
        </r>
      </text>
    </comment>
    <comment ref="N13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«Հայաստանի Ներդրումների և ջակցության կորպորացիա» միանվագ մարում 30.06.2023թ.</t>
        </r>
      </text>
    </comment>
    <comment ref="N1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Էլիտ</t>
        </r>
      </text>
    </comment>
    <comment ref="T150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ընդհանուր վարկերի մնացորդ</t>
        </r>
      </text>
    </comment>
    <comment ref="T151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բյուջեից տրամադրված վարկերի մնացորդ</t>
        </r>
      </text>
    </comment>
    <comment ref="T152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արտաքին վարկերի մնացորդ</t>
        </r>
      </text>
    </comment>
  </commentList>
</comments>
</file>

<file path=xl/comments2.xml><?xml version="1.0" encoding="utf-8"?>
<comments xmlns="http://schemas.openxmlformats.org/spreadsheetml/2006/main">
  <authors>
    <author>Lusine Grigoryan</author>
    <author>Susanna Sargsyan</author>
    <author>Armen Manukyan</author>
  </authors>
  <commentList>
    <comment ref="G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G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G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J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L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J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J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J2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K3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K3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K3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71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72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Q7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Վճարումը կատարվում է հազվադեպ, սահմանված ժամանակացույցի խախտմամբ</t>
        </r>
      </text>
    </comment>
    <comment ref="G7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Q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կատարվում, և պարբերաբար ՀՀ կառավարության համապատասխան որոշումներով մարման ժամկետը հետաձգվում է</t>
        </r>
      </text>
    </comment>
    <comment ref="Q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կատարվում, և պարբերաբար ՀՀ կառավարության համապատասխան որոշումներով մարման ժամկետը հետաձգվում է</t>
        </r>
      </text>
    </comment>
    <comment ref="G8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19.07.2012թ. N 900-Ա որոշում</t>
        </r>
      </text>
    </comment>
    <comment ref="G8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Q8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 չի կատարվում</t>
        </r>
      </text>
    </comment>
    <comment ref="G8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Q8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 չի կատարվում</t>
        </r>
      </text>
    </comment>
    <comment ref="G8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Q8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 չի կատարվում</t>
        </r>
      </text>
    </comment>
    <comment ref="Q8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 չի կատարվում</t>
        </r>
      </text>
    </comment>
    <comment ref="G8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Q8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Առկա է պարտավորություն հաշվարկված  տոկոսագումարի տույժի գծով</t>
        </r>
      </text>
    </comment>
    <comment ref="Q9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Ըստ հիմնավորման՝ Բյուջետային վարկը տրամադրվում է 2024 թվականի հոկտեմբեր, նոյեմբեր ամիսների աշխատավարձի (ներառյալ հարկային պարտավորություններ և պարտադիր վճարներ) գծով առաջացած պարտավորություների մարման նպատակով:</t>
        </r>
      </text>
    </comment>
    <comment ref="F10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15.11.2024թ. Թիվ 1796-Ն որոշում</t>
        </r>
      </text>
    </comment>
    <comment ref="Q10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Շրջանառվում է ՀՀ կառավարության որոշման նախագիծ՝ տրամադրված վարկը փոխակերպելու ընկերության կանոնադրական կապիտալում ներդրման</t>
        </r>
      </text>
    </comment>
    <comment ref="Q10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ՖՆ կողմից հայց է ներկայացվել դատարան</t>
        </r>
      </text>
    </comment>
    <comment ref="H105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H106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1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H111" authorId="2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K11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Q11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Q11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Q11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Q11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Q1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C11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M11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  <comment ref="Q11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Q1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2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2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2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2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կատարվում է անկանոն</t>
        </r>
      </text>
    </comment>
    <comment ref="Q13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3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4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4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</commentList>
</comments>
</file>

<file path=xl/comments3.xml><?xml version="1.0" encoding="utf-8"?>
<comments xmlns="http://schemas.openxmlformats.org/spreadsheetml/2006/main">
  <authors>
    <author>Lusine Grigoryan</author>
    <author>Susanna Sargsyan</author>
    <author>Armen Manukyan</author>
  </authors>
  <commentList>
    <comment ref="G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G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G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J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L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J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J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J2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K3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K3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K3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71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72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Q7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Վճարումը կատարվում է հազվադեպ, սահմանված ժամանակացույցի խախտմամբ</t>
        </r>
      </text>
    </comment>
    <comment ref="G7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Q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կատարվում, և պարբերաբար ՀՀ կառավարության համապատասխան որոշումներով մարման ժամկետը հետաձգվում է</t>
        </r>
      </text>
    </comment>
    <comment ref="Q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կատարվում, և պարբերաբար ՀՀ կառավարության համապատասխան որոշումներով մարման ժամկետը հետաձգվում է</t>
        </r>
      </text>
    </comment>
    <comment ref="G8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19.07.2012թ. N 900-Ա որոշում</t>
        </r>
      </text>
    </comment>
    <comment ref="G8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Q8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 չի կատարվում</t>
        </r>
      </text>
    </comment>
    <comment ref="G8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Q8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 չի կատարվում</t>
        </r>
      </text>
    </comment>
    <comment ref="G8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Q8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 չի կատարվում</t>
        </r>
      </text>
    </comment>
    <comment ref="Q8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 չի կատարվում</t>
        </r>
      </text>
    </comment>
    <comment ref="G8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Q8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Առկա է պարտավորություն հաշվարկված  տոկոսագումարի տույժի գծով</t>
        </r>
      </text>
    </comment>
    <comment ref="Q9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Ըստ հիմնավորման՝ Բյուջետային վարկը տրամադրվում է 2024 թվականի հոկտեմբեր, նոյեմբեր ամիսների աշխատավարձի (ներառյալ հարկային պարտավորություններ և պարտադիր վճարներ) գծով առաջացած պարտավորություների մարման նպատակով:</t>
        </r>
      </text>
    </comment>
    <comment ref="F10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15.11.2024թ. Թիվ 1796-Ն որոշում</t>
        </r>
      </text>
    </comment>
    <comment ref="Q10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Շրջանառվում է ՀՀ կառավարության որոշման նախագիծ՝ տրամադրված վարկը փոխակերպելու ընկերության կանոնադրական կապիտալում ներդրման</t>
        </r>
      </text>
    </comment>
    <comment ref="Q10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ՖՆ կողմից հայց է ներկայացվել դատարան</t>
        </r>
      </text>
    </comment>
    <comment ref="H105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H106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1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H111" authorId="2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K11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Q11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Q11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Q11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Q11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Q1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C11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M11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  <comment ref="Q11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Q1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2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2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2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2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կատարվում է անկանոն</t>
        </r>
      </text>
    </comment>
    <comment ref="Q13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3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4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4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</commentList>
</comments>
</file>

<file path=xl/comments4.xml><?xml version="1.0" encoding="utf-8"?>
<comments xmlns="http://schemas.openxmlformats.org/spreadsheetml/2006/main">
  <authors>
    <author>Lusine Grigoryan</author>
    <author>Susanna Sargsyan</author>
    <author>Armen Manukyan</author>
  </authors>
  <commentList>
    <comment ref="G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G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G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J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L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J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J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J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J2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K3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K3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K3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71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72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Q7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Վճարումը կատարվում է հազվադեպ, սահմանված ժամանակացույցի խախտմամբ</t>
        </r>
      </text>
    </comment>
    <comment ref="G7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Q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կատարվում, և պարբերաբար ՀՀ կառավարության համապատասխան որոշումներով մարման ժամկետը հետաձգվում է</t>
        </r>
      </text>
    </comment>
    <comment ref="Q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կատարվում, և պարբերաբար ՀՀ կառավարության համապատասխան որոշումներով մարման ժամկետը հետաձգվում է</t>
        </r>
      </text>
    </comment>
    <comment ref="G8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19.07.2012թ. N 900-Ա որոշում</t>
        </r>
      </text>
    </comment>
    <comment ref="G8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Q8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 չի կատարվում</t>
        </r>
      </text>
    </comment>
    <comment ref="G8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Q8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 չի կատարվում</t>
        </r>
      </text>
    </comment>
    <comment ref="G8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Q8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 չի կատարվում</t>
        </r>
      </text>
    </comment>
    <comment ref="Q8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 չի կատարվում</t>
        </r>
      </text>
    </comment>
    <comment ref="G8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Q8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Առկա է պարտավորություն հաշվարկված  տոկոսագումարի տույժի գծով</t>
        </r>
      </text>
    </comment>
    <comment ref="Q9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Ըստ հիմնավորման՝ Բյուջետային վարկը տրամադրվում է 2024 թվականի հոկտեմբեր, նոյեմբեր ամիսների աշխատավարձի (ներառյալ հարկային պարտավորություններ և պարտադիր վճարներ) գծով առաջացած պարտավորություների մարման նպատակով:</t>
        </r>
      </text>
    </comment>
    <comment ref="F10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15.11.2024թ. Թիվ 1796-Ն որոշում</t>
        </r>
      </text>
    </comment>
    <comment ref="Q10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Շրջանառվում է ՀՀ կառավարության որոշման նախագիծ՝ տրամադրված վարկը փոխակերպելու ընկերության կանոնադրական կապիտալում ներդրման</t>
        </r>
      </text>
    </comment>
    <comment ref="Q10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ՖՆ կողմից հայց է ներկայացվել դատարան</t>
        </r>
      </text>
    </comment>
    <comment ref="H105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H106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1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H111" authorId="2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K11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Q11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Q11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Q11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Q11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Q1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C11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M11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  <comment ref="Q11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Q1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2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2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2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2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2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կատարվում է անկանոն</t>
        </r>
      </text>
    </comment>
    <comment ref="Q13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3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4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Q14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</commentList>
</comments>
</file>

<file path=xl/comments5.xml><?xml version="1.0" encoding="utf-8"?>
<comments xmlns="http://schemas.openxmlformats.org/spreadsheetml/2006/main">
  <authors>
    <author>Lusine Grigoryan</author>
    <author>Susanna Sargsyan</author>
    <author>Armen Manukyan</author>
  </authors>
  <commentList>
    <comment ref="H8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</t>
        </r>
      </text>
    </comment>
    <comment ref="H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KFW-09122014-1</t>
        </r>
      </text>
    </comment>
    <comment ref="H1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IBRD-01062011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չեղարկվել է (27.09.2021թ. կնքված փոփոխոիթյան)</t>
        </r>
      </text>
    </comment>
    <comment ref="M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15.05.2022թ.-ից</t>
        </r>
      </text>
    </comment>
    <comment ref="K17" authorId="0" shapeId="0">
      <text>
        <r>
          <rPr>
            <b/>
            <sz val="10"/>
            <color indexed="81"/>
            <rFont val="Tahoma"/>
            <family val="2"/>
          </rPr>
          <t>Lusine Grigoryan:
Հ</t>
        </r>
        <r>
          <rPr>
            <sz val="10"/>
            <color indexed="81"/>
            <rFont val="Tahoma"/>
            <family val="2"/>
          </rPr>
          <t>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      </r>
      </text>
    </comment>
    <comment ref="M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15.02.2022թ.-ից</t>
        </r>
      </text>
    </comment>
    <comment ref="C1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52 մլն դոլար</t>
        </r>
      </text>
    </comment>
    <comment ref="K19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      </r>
      </text>
    </comment>
    <comment ref="K2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11.06.2018թ. Համաձայնագրով 30.205.514  փոխարինվել է 22.305.514
14.02.2020թ. Համաձայնագրով 22.305.514    փոխարինվել է 16.662.617
</t>
        </r>
      </text>
    </comment>
    <comment ref="K25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18.06.2020թ. Համաձայնագրով 15.192.292 SDR փոխարինվել է 13.988.153 SDR, իսկ մասհանման ժամկետը երկարաձգվել է մինչև 30.06.2022թ (30.06.2020 փոխարեն)</t>
        </r>
      </text>
    </comment>
    <comment ref="K27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25.05.2020թ. Համաձայնագրով 8.829.708 SDR փոխարինվել է 10.098.535 SDR, իսկ մասհանման ժամկետը երկարաձգվել է մինչև 30.06.2022թ (30.06.2020 փոխարեն)</t>
        </r>
      </text>
    </comment>
    <comment ref="L3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գումար*0,29*1,3  </t>
        </r>
      </text>
    </comment>
    <comment ref="L3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Վարկի (Գ) բաղադրիչի մասով մայր գումարի տրամադրումը հաշվարկվում է  հաշվարկվում է Համաձայնագրի 7.4 կետում բերված բանաձևով մասհանցած գումար*0,71*1,3  </t>
        </r>
      </text>
    </comment>
    <comment ref="B3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նախկինում՝ «Որոտանի հիդրոէլեկտրակայանների համալիր »  ՓԲԸ</t>
        </r>
      </text>
    </comment>
    <comment ref="L3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9.713.669 ճապ. Իեն գումարը չեղյալ է համարվել</t>
        </r>
      </text>
    </comment>
    <comment ref="C71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730-AM</t>
        </r>
      </text>
    </comment>
    <comment ref="C72" authorId="0" shapeId="0">
      <text>
        <r>
          <rPr>
            <b/>
            <sz val="10"/>
            <color indexed="81"/>
            <rFont val="Tahoma"/>
            <family val="2"/>
          </rPr>
          <t>Lusine Grigoryan:</t>
        </r>
        <r>
          <rPr>
            <sz val="10"/>
            <color indexed="81"/>
            <rFont val="Tahoma"/>
            <family val="2"/>
          </rPr>
          <t xml:space="preserve">
779-AM</t>
        </r>
      </text>
    </comment>
    <comment ref="R7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Վճարումը կատարվում է հազվադեպ, սահմանված ժամանակացույցի խախտմամբ</t>
        </r>
      </text>
    </comment>
    <comment ref="H7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վարչապետ Տիգրան Սարգսյանի մոտ 2011թ. ապրիլի 27-ին կայացած` խորհրդակցության N 23.8/75092-11 արձանագրություն</t>
        </r>
      </text>
    </comment>
    <comment ref="R8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կատարվում, և պարբերաբար ՀՀ կառավարության համապատասխան որոշումներով մարման ժամկետը հետաձգվում է</t>
        </r>
      </text>
    </comment>
    <comment ref="R8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կատարվում, և պարբերաբար ՀՀ կառավարության համապատասխան որոշումներով մարման ժամկետը հետաձգվում է</t>
        </r>
      </text>
    </comment>
    <comment ref="F8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 ՀՀ կառավարության 20.06.2011թ.  N  681 - Ա որոշում</t>
        </r>
      </text>
    </comment>
    <comment ref="R8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 չի կատարվում</t>
        </r>
      </text>
    </comment>
    <comment ref="F8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02.08.2012թ. N 1018  -Ն որոշում</t>
        </r>
      </text>
    </comment>
    <comment ref="R8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 չի կատարվում</t>
        </r>
      </text>
    </comment>
    <comment ref="F8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06.02.2014թ.  N  194 -Ն որոշում</t>
        </r>
      </text>
    </comment>
    <comment ref="R8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 չի կատարվում</t>
        </r>
      </text>
    </comment>
    <comment ref="R88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Վճարում չի կատարվում</t>
        </r>
      </text>
    </comment>
    <comment ref="F8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10.12.2015թ. N 1436-Ն որոշում</t>
        </r>
      </text>
    </comment>
    <comment ref="R89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Առկա է պարտավորություն հաշվարկված  տոկոսագումարի տույժի գծով</t>
        </r>
      </text>
    </comment>
    <comment ref="R9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Ըստ հիմնավորման՝ Բյուջետային վարկը տրամադրվում է 2024 թվականի հոկտեմբեր, նոյեմբեր ամիսների աշխատավարձի (ներառյալ հարկային պարտավորություններ և պարտադիր վճարներ) գծով առաջացած պարտավորություների մարման նպատակով:</t>
        </r>
      </text>
    </comment>
    <comment ref="G10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կառավարության 15.11.2024թ. Թիվ 1796-Ն որոշում</t>
        </r>
      </text>
    </comment>
    <comment ref="R10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Շրջանառվում է ՀՀ կառավարության որոշման նախագիծ՝ տրամադրված վարկը փոխակերպելու ընկերության կանոնադրական կապիտալում ներդրման</t>
        </r>
      </text>
    </comment>
    <comment ref="R10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ՀՀ ՖՆ կողմից հայց է ներկայացվել դատարան</t>
        </r>
      </text>
    </comment>
    <comment ref="I106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2174-Ն որոշման, 25.12.2020թ.-ին կնքվել է համաձայնագիր, որով փոփոխվել են տոկոսն ու մարման ժամկետը</t>
        </r>
      </text>
    </comment>
    <comment ref="I107" authorId="1" shapeId="0">
      <text>
        <r>
          <rPr>
            <b/>
            <sz val="9"/>
            <color indexed="81"/>
            <rFont val="Tahoma"/>
            <family val="2"/>
          </rPr>
          <t>Susanna Sargsyan:</t>
        </r>
        <r>
          <rPr>
            <sz val="9"/>
            <color indexed="81"/>
            <rFont val="Tahoma"/>
            <family val="2"/>
          </rPr>
          <t xml:space="preserve">
Համաձայն ՀՀ կառ.24.12.20թ. 2176-Ա որոշման, 25.12.2020թ.-ին կնքվել է համաձայնագիր, որով փոփոխվել են տոկոսն ու մարման ժամկետը</t>
        </r>
      </text>
    </comment>
    <comment ref="C11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1-ին միջոցառում</t>
        </r>
      </text>
    </comment>
    <comment ref="I112" authorId="2" shapeId="0">
      <text>
        <r>
          <rPr>
            <b/>
            <sz val="9"/>
            <color indexed="81"/>
            <rFont val="Tahoma"/>
            <family val="2"/>
          </rPr>
          <t>Armen Manukyan:</t>
        </r>
        <r>
          <rPr>
            <sz val="9"/>
            <color indexed="81"/>
            <rFont val="Tahoma"/>
            <family val="2"/>
          </rPr>
          <t xml:space="preserve">
Համաձայն 02.06.20թ. Փոփոխություններ և լրացումներ կատարելու մասին համաձայնագրի՝ ԳՖԿ-ների կողմից վարկի մարման առավելագույն ժամկետը 31.05.22թ., որից հետո  հետո 3-րդ աշխատանքային օրում գումարը պետք է փոխանցվի 900005052015 հաշվեհամարին:</t>
        </r>
      </text>
    </comment>
    <comment ref="L11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Ամբողջովին տրամադրված</t>
        </r>
      </text>
    </comment>
    <comment ref="R11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R11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R114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R11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R11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C1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3-րդ միջոցառում</t>
        </r>
      </text>
    </comment>
    <comment ref="N1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140537000+5009140 ավելացվել է 2022թ. հոկտեմբերին
Փաստացի տրամադրված վարկերի հետ վերադարձը եղել է 
2020թ.ընթացքում 140537000 դրամ
2021թ.ընթացքում 5009140 դրամ
200000 եկելա 2-րդ միջոցառւոմից</t>
        </r>
      </text>
    </comment>
    <comment ref="R11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Մարումները կատարվում են անկանոն</t>
        </r>
      </text>
    </comment>
    <comment ref="R12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R125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R126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R12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R130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R13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կատարվում է անկանոն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R137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R141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  <comment ref="R142" authorId="0" shapeId="0">
      <text>
        <r>
          <rPr>
            <b/>
            <sz val="9"/>
            <color indexed="81"/>
            <rFont val="Tahoma"/>
            <family val="2"/>
          </rPr>
          <t>Lusine Grigoryan:</t>
        </r>
        <r>
          <rPr>
            <sz val="9"/>
            <color indexed="81"/>
            <rFont val="Tahoma"/>
            <family val="2"/>
          </rPr>
          <t xml:space="preserve">
Մարում չի կատարվում</t>
        </r>
      </text>
    </comment>
  </commentList>
</comments>
</file>

<file path=xl/sharedStrings.xml><?xml version="1.0" encoding="utf-8"?>
<sst xmlns="http://schemas.openxmlformats.org/spreadsheetml/2006/main" count="5148" uniqueCount="580">
  <si>
    <t>«Հայկական ատոմային էլեկտրոկայան» ՓԲԸ</t>
  </si>
  <si>
    <t>«Միջազգային էներգետիկ կորպորացիա» ՓԲԸ</t>
  </si>
  <si>
    <t>«Հայաստանի էլեկտրական ցանցեր» ՓԲԸ</t>
  </si>
  <si>
    <t>«Ավանդների փոխհատուցումը երաշխավորող հիմնադրամ» ՓԲԸ</t>
  </si>
  <si>
    <t>«Հայաստանի Հանրապետության առևտրային բանկերում ֆիզիկական անձանց բանկային ավանդների հատուցումը երաշխավորող համակարգի ամրապնդում»</t>
  </si>
  <si>
    <t>Մարված վարկի հիմնական գումար</t>
  </si>
  <si>
    <t>Վարկի հիմնական գումարի մնացորդ</t>
  </si>
  <si>
    <t>Գրավի առարկան</t>
  </si>
  <si>
    <t>ԳԶՄՀ</t>
  </si>
  <si>
    <t>Ֆրանսիա</t>
  </si>
  <si>
    <t>Մասհանված գումարի չափը</t>
  </si>
  <si>
    <t>Արտաքին վարկից մարված գումար</t>
  </si>
  <si>
    <t xml:space="preserve"> 24.02.2004թ. N 1(01)CP-2004 վարկային պայմանագիր</t>
  </si>
  <si>
    <t>Արտաքին վարկի տրամադրման տարեկան տոկոսադրույքը</t>
  </si>
  <si>
    <t>Ենթավարկային պայմանագրի կնքման ամսաթիվը և համարը</t>
  </si>
  <si>
    <t>Տ Ե Ղ Ե Կ Ա Ն Ք</t>
  </si>
  <si>
    <t>«Էլեկտրաէներգետիկական համակարգի օպերատոր» ՓԲԸ</t>
  </si>
  <si>
    <t>«Էլեկտրահաղորդման և բաշխիչ համակարգեր»</t>
  </si>
  <si>
    <t>Ճապոնական իեն</t>
  </si>
  <si>
    <t>Արտաքին վարկի հիմնական գումարի մնացորդ</t>
  </si>
  <si>
    <t>Արժույթը</t>
  </si>
  <si>
    <t>04.05.2007թ.</t>
  </si>
  <si>
    <t>Մարված տոկոսագումար</t>
  </si>
  <si>
    <t>12.07.2004թ.</t>
  </si>
  <si>
    <t>«Էլեկտրաէներգիայի հաղորդման ցանցի վերակառուցում»</t>
  </si>
  <si>
    <t>Ասիական Զարգացման Բանկ (ԱԶԲ)</t>
  </si>
  <si>
    <t>ԱՄՆ դոլար</t>
  </si>
  <si>
    <t>«Բարձրավոլտ էլեկտրացանցեր» ՓԲԸ</t>
  </si>
  <si>
    <t>02.02.2015թ.</t>
  </si>
  <si>
    <t>06.02.2015թ.</t>
  </si>
  <si>
    <t>Եվրո</t>
  </si>
  <si>
    <t>Հասարակ մուրհակներ</t>
  </si>
  <si>
    <t xml:space="preserve">16.02.2004թ.  N4(48)/CP-2004 </t>
  </si>
  <si>
    <t xml:space="preserve">«Կովկասյան էլեկտրահաղորդման ցանց I (Հայաստան-Վրաստան հաղորդիչ գիծ/ենթակայաններ)» </t>
  </si>
  <si>
    <t>13.03.2015թ.</t>
  </si>
  <si>
    <t>Վարկառու</t>
  </si>
  <si>
    <t>Հասարակ մուրհակներ և յուրաքանչյուր տարվա դեկտեմբեր ամսվա դրությամբ ձեռք բերված ակտիվներ</t>
  </si>
  <si>
    <t>«Հոսանքահաղորդիչ համակարգի վերականգնում (Կամո և Վանաձոր-2 ենթակայաններ)»</t>
  </si>
  <si>
    <t>25.06.1999թ.</t>
  </si>
  <si>
    <t>07.10.2009թ.</t>
  </si>
  <si>
    <t xml:space="preserve"> ««Գյումրի-2» ենթակայանի վերականգնում» I փուլ</t>
  </si>
  <si>
    <t xml:space="preserve"> ««Գյումրի-2» ենթակայանի վերականգնում» II փուլ</t>
  </si>
  <si>
    <t xml:space="preserve">«էլեկտրահաղորդման և բաշխիչ համակարգեր»   N 3175 AM </t>
  </si>
  <si>
    <t>Զարգացման Միջազգային Ընկերակցություն (ՄԶԸ)</t>
  </si>
  <si>
    <t>30.11.1999թ.</t>
  </si>
  <si>
    <t>12.05.2005թ.</t>
  </si>
  <si>
    <t xml:space="preserve"> SDR</t>
  </si>
  <si>
    <t>«Էլեկտրաէներգիայի մատակարարման հուսալիություն»</t>
  </si>
  <si>
    <t>Վերակառուցման և Զարգացման Միջազգային Բանկի (ՎԶՄԲ)</t>
  </si>
  <si>
    <t>18.11.2011թ.</t>
  </si>
  <si>
    <t>««Էլեկտրաէներգիայի մատակարարման հուսալիություն» ծրագրի լրացուցիչ ֆինանսավորում»</t>
  </si>
  <si>
    <t>ՀՀ դրամ</t>
  </si>
  <si>
    <t>Վերակառուցման և Զարգացման Եվրոպական  Բանկ (ՎԶԵԲ)</t>
  </si>
  <si>
    <t>13.07.2010թ.</t>
  </si>
  <si>
    <t>30.05.2013թ.</t>
  </si>
  <si>
    <t>03.05.2011թ.</t>
  </si>
  <si>
    <t xml:space="preserve">Եվրոպական Ներդրումային Բանկի (ԵՆԲ) </t>
  </si>
  <si>
    <t>09.02.2015թ.</t>
  </si>
  <si>
    <t>21.06.2010թ.</t>
  </si>
  <si>
    <t>«Էներգետիկայի բնագավառում անհապաղ օգնություն (Քանաքեռի հիդրոէլեկտրակայան)»</t>
  </si>
  <si>
    <t xml:space="preserve">Գերմանական մարկ </t>
  </si>
  <si>
    <t>Գերմանիայի վերականգնվող վարկերի բանկ (KfW)</t>
  </si>
  <si>
    <t>վերաֆինանսավորման դրույք + 1.25% (յուրաքանչյուր մասհանման համար սահմանված)</t>
  </si>
  <si>
    <t>6-ամսյա Libor+ փոփոխական մարժա</t>
  </si>
  <si>
    <t>SDR</t>
  </si>
  <si>
    <t>Ճապոնիայի Անդրծովյան տնտեսական համագործակցության հիմնադրամ (JICA)</t>
  </si>
  <si>
    <t>1.8% / 0.75%</t>
  </si>
  <si>
    <t>6-ամսյա Լibor+4%</t>
  </si>
  <si>
    <t xml:space="preserve">15.11.2012թ. </t>
  </si>
  <si>
    <t>«Քաղաքային ջեռուցման ծրագիր»</t>
  </si>
  <si>
    <t>30.07.2012թ.</t>
  </si>
  <si>
    <t>«Երևան Ջերմաէլեկտրակենտրոն» ՓԲԸ</t>
  </si>
  <si>
    <t xml:space="preserve">«Երևանի համակցված շոգեգազային ցիկլով էլեկտրակայանի (էներգաբլոկի) նախագծի իրականացում» </t>
  </si>
  <si>
    <t>11.07.2005թ.</t>
  </si>
  <si>
    <t>«Հայաստանի վերականգնվող էներգետիկայի հիմնադրամ</t>
  </si>
  <si>
    <t>30.12.2012թ. -30.06.2024թ.</t>
  </si>
  <si>
    <t>30.06.2019թ.  - 30.06.2049թ.</t>
  </si>
  <si>
    <t>30.06.2009թ. - 30.12.2038թ.</t>
  </si>
  <si>
    <t>30.12.2019թ. -30.12.2029թ.</t>
  </si>
  <si>
    <t>30.06.2025թ. -30.12.2054թ.</t>
  </si>
  <si>
    <t>25.12.2005թ. -25.06.2045թ.</t>
  </si>
  <si>
    <t>16.04.2013թ. - 16.10.2024թ.</t>
  </si>
  <si>
    <t>16.10.2013թ. -16.04.2027թ.</t>
  </si>
  <si>
    <t>16.10.2015թ. - 16.04.2027թ.</t>
  </si>
  <si>
    <t>16.04.2019թ. -16.10.2033թ.</t>
  </si>
  <si>
    <t>25.11.2010թ. - 25.11.2041թ.</t>
  </si>
  <si>
    <t>05.06.2009թ. - 05.12.2033թ.</t>
  </si>
  <si>
    <t>05.12.2008թ. -05.12.2023թ.</t>
  </si>
  <si>
    <t>«Հայաստանի վերականգնվող էներգետիկայի և էներգախնայողության հիմնադրամ»</t>
  </si>
  <si>
    <t>10.11.2015թ. - 10.11.2045թ.</t>
  </si>
  <si>
    <t>15.11.2021թ. -15.05.2036թ.</t>
  </si>
  <si>
    <t>15.08.2024թ. -15.08.2039թ.</t>
  </si>
  <si>
    <t>15.11.2019թ. -15.05.2039թ.</t>
  </si>
  <si>
    <t>10.02.2019թ. -10.02.2039թ.</t>
  </si>
  <si>
    <t>20.03.2015թ. -20.03.2045թ.</t>
  </si>
  <si>
    <t>17.12.2008թ. -17.12.2022թ.</t>
  </si>
  <si>
    <t>10.12.2008թ. -30.12.2035թ.</t>
  </si>
  <si>
    <t>0.75% և 0.25% պարտավճար</t>
  </si>
  <si>
    <t>փոփոխական</t>
  </si>
  <si>
    <t>հասարակ անտոկոս մուրհակ</t>
  </si>
  <si>
    <t>ՀՀ կենտրոնական բանկ</t>
  </si>
  <si>
    <t>Տնտեսության կայունացման վարկավորման ծրագիր</t>
  </si>
  <si>
    <t xml:space="preserve">08.07.2009թ. Ֆինանսական գործակալության պայմանգիր և 21.02.11թ. Համաձայնագիր </t>
  </si>
  <si>
    <t>Պետական բյուջե</t>
  </si>
  <si>
    <t>06.10.11թ. Պարտքի մարման համաձայնագիր</t>
  </si>
  <si>
    <t>01.07.2018թ.</t>
  </si>
  <si>
    <t>Համաշխարհային բանկ</t>
  </si>
  <si>
    <t>«Աղետի գոտու վերականգնում»</t>
  </si>
  <si>
    <t>Հասարակ մուրհաիկներ, ակտիվներ</t>
  </si>
  <si>
    <t>09.07.2011թ.  N 1/2011</t>
  </si>
  <si>
    <t xml:space="preserve">Լիբոր+4 </t>
  </si>
  <si>
    <t>Առանց գրավի</t>
  </si>
  <si>
    <t>08.11.2012թ.  N 6/2012</t>
  </si>
  <si>
    <t>19.03.2014թ.  N 3/2014</t>
  </si>
  <si>
    <t>Հայաստանում գյուղական տարածքների տնտեսական զարգացման հիմնադրամ (FREDA)</t>
  </si>
  <si>
    <t>08.01.2008թ. Հայաստանի Հանրապետության և Գյուղատնտեսության զարգացման միջազգային հիմնադրամի (ԳԶՄՀ) միջև կնքված «Շուկայավարման հնարավորություն ֆերմերներին» ծրագրի Ֆինանսավորման Համաձայնագիր</t>
  </si>
  <si>
    <t>28.07.2009թ.</t>
  </si>
  <si>
    <t>25.01.2018-25.01.2047թ.թ.</t>
  </si>
  <si>
    <t>«Ակբա-Կրեդիտ Ագրիկոլ Բանկ» ՓԲԸ Հյուսիս Արևմտյան</t>
  </si>
  <si>
    <t>13.01.1998թ. Սուբսիդավորմամբ ֆինանսավորման պայմանագիր</t>
  </si>
  <si>
    <t>«Ակբա-Կրեդիտ Ագրիկոլ Բանկ» ՓԲԸ Գյուղատնտեսության ծառ.</t>
  </si>
  <si>
    <t>11.01.2002թ.ՀԳՓԲ սուբսիդավորման համաձայնագիր</t>
  </si>
  <si>
    <t>«Հյուսիս-Արևմտյան շրջանների գյուղատնտեսական ծառայությունների ծրագիր»</t>
  </si>
  <si>
    <t>«Գյուղատնտեսական ծառայությունների ծրագիր»</t>
  </si>
  <si>
    <t>«Վանաձորի բաղնիքային տնտեսություն»</t>
  </si>
  <si>
    <t>յուրաքանչյուր տարվա հունվարի 1-ի փոփոխական տոկոսադրույք +0.5%</t>
  </si>
  <si>
    <t>հասարակ անտոկոս մուրհակ և Ընկերությանը պատկանող հողամասը և դրա վրա կառուցված շինությունները</t>
  </si>
  <si>
    <t>Վարկի հաշվին կառուցված գույքը</t>
  </si>
  <si>
    <t>Հ/Հ</t>
  </si>
  <si>
    <t>Գյուղական կարողությունների ստեղծման ծրագրի համաֆինանսավորում</t>
  </si>
  <si>
    <t>«Օժանդակություն էներգահամակարգին»</t>
  </si>
  <si>
    <t>ՀՀ գյուղատնտեսության ոլորտի աջակցում</t>
  </si>
  <si>
    <t>KFW</t>
  </si>
  <si>
    <t>12.12.2012թ. Ֆինանսական գործակալության պայմանգիր KFW- AGRO</t>
  </si>
  <si>
    <t>30.06.2024</t>
  </si>
  <si>
    <t>05.05.2006         թիվ 1/2006</t>
  </si>
  <si>
    <t>10.01.2020թ. -10.07.2029թ.</t>
  </si>
  <si>
    <t xml:space="preserve">Որոտանի հիդրոէլեկտրակայանների համակարգի վերականգնման  </t>
  </si>
  <si>
    <t>3.24% և 0.25% պարտավճար</t>
  </si>
  <si>
    <t>4.12% և 0.25% պարտավճար</t>
  </si>
  <si>
    <t xml:space="preserve">Հայաստանի Հանրապետության տարածքում ատոմային էլեկտրակայանի շահագործման ժամկետի երկարաձգման աշխատանքների ֆինանսավորման </t>
  </si>
  <si>
    <t>22.06.2015թ.  N 6/2015</t>
  </si>
  <si>
    <t xml:space="preserve">«Էլեկտրահաղորդման ցանցի բարելավում ծրագիր» </t>
  </si>
  <si>
    <t>11.08.2015թ.</t>
  </si>
  <si>
    <t>«Երևանի ջերմաէլեկտրակենտրոն» ՓԲԸ</t>
  </si>
  <si>
    <t xml:space="preserve">կայունացման դեպոզիտ հաշիվ </t>
  </si>
  <si>
    <t>կայունացման դեպոզիտ հաշիվ (եվրոբոնդ)</t>
  </si>
  <si>
    <t>Գերմանիա (KfW)</t>
  </si>
  <si>
    <t>03.09.2015թ.   N 3/2015</t>
  </si>
  <si>
    <t>«Դի Էնդ Էյջ Գրուպ»  ՍՊԸ</t>
  </si>
  <si>
    <t>Տնտեսության վարկավորման ծրագիր</t>
  </si>
  <si>
    <t xml:space="preserve">Պահանջի իրավունքի զիջման Համաձայնագիր
</t>
  </si>
  <si>
    <t>Միջպետական վարկ</t>
  </si>
  <si>
    <t xml:space="preserve">Արտաքին պարտքի և ՀՀ պետական բյուջեի միջոցների հաշվին իրականացվող ծրագիր </t>
  </si>
  <si>
    <t>Վարկի աղբյուրը</t>
  </si>
  <si>
    <t>Վարկի գումարի չափը</t>
  </si>
  <si>
    <t>Գյուղատնտեսության վարկավորման ծրագիր</t>
  </si>
  <si>
    <t>Վարկի հիմնական գումարի մնացորդը ԱՄՆ դոլարով</t>
  </si>
  <si>
    <t>Ընդամենը ՀՀ Էներգետիկայի ոլորտում տրամադրված վարկեր</t>
  </si>
  <si>
    <t>Ընդամենը «Կարեն Դեմերճյանի անվան Երևանի մետրոպոլիտեն» ՓԲԸ տրամադրված վարկեր</t>
  </si>
  <si>
    <t>Ընդամենը ՀՀ կենտրոնական բանկ, այլ բանկեր և վարկային կազմակերպություններին տրամադրված վարկեր</t>
  </si>
  <si>
    <t>Ընդամենը տնտեսության վարկավորման համար տարբեր կազմակերպություններին և ընկերություններին տրամադրված վարկեր</t>
  </si>
  <si>
    <t>Ընդամենը տրամադրված վարկերի և ենթավարկերի կառուցվածքը ըստ իրենց արժույթների</t>
  </si>
  <si>
    <t>«Ռադիոիզոտոպների արտադրության կենտրոն» ՓԲԸ</t>
  </si>
  <si>
    <t xml:space="preserve">Պահանջի իրավունքի զիջման համաձայնագիր
</t>
  </si>
  <si>
    <t>14.08.2015թ.</t>
  </si>
  <si>
    <t>«Ավտոմատիկա» ՓԲԸ</t>
  </si>
  <si>
    <t>28.12.2015թ. N 11/2015</t>
  </si>
  <si>
    <t>15.12.2020թ.</t>
  </si>
  <si>
    <t>ք. Երևան, Թևոսյան 3/1 հասցեում գտնվող անշարժ գույք</t>
  </si>
  <si>
    <t>05.02.2016թ.  N 2/2016</t>
  </si>
  <si>
    <t>«Երևանի մետրոպոլիտենի վերականգնում» I ծրագիր (ՎԶԵԲ)</t>
  </si>
  <si>
    <t>«Երևանի մետրոպոլիտենի վերականգնում» II ծրագիր (ՎԶԵԲ)</t>
  </si>
  <si>
    <t>«Երևանի մետրոպոլիտենի վերականգնում» I ծրագիր (ԵՆԲ)</t>
  </si>
  <si>
    <t>«Երևանի մետրոպոլիտենի վերականգնում» II ծրագիր (ԵՆԲ)</t>
  </si>
  <si>
    <t>«Նաիրիտ գործարան» ՓԲԸ*</t>
  </si>
  <si>
    <t>«Բերրիություն ԱՄ-ի Մասիսի շրջանային միավորում» ՍՊԸ*</t>
  </si>
  <si>
    <t>01.06.2008թ. -01.12.2037թ.</t>
  </si>
  <si>
    <t>15.10.2011թ.-15.04.2041թ.</t>
  </si>
  <si>
    <t>20.12.2016թ.</t>
  </si>
  <si>
    <t xml:space="preserve">«Էներգետիկայի ոլորտի ֆինանսական առողջացում» </t>
  </si>
  <si>
    <t>14.06.2016թ.</t>
  </si>
  <si>
    <t>15.11.2030թ. -15.11.2040թ.</t>
  </si>
  <si>
    <t>Հասարակ մուրհակներ, 11.07.2005թ. կնքված ենթավարկային համաձայնագրով ստանձնած պարտավորությունների ապահովման համար գրավադրված գույքը</t>
  </si>
  <si>
    <t>22.06.2016թ.</t>
  </si>
  <si>
    <t>Հասարակ մուրհակներ, ՀԱԷԿ-ի սեփականություն հանդիսացող ակտիվները</t>
  </si>
  <si>
    <t>«Կովկասյան էլեկտրահաղորդման ցանց I (Հայաստան-Վրաստան հաղորդիչ գիծ/ենթակայաններ) (Փուլ 1 + Փուլ 2a)»</t>
  </si>
  <si>
    <t>«Կովկասյան էլեկտրահաղորդման ցանց III (Ծրագրի փուլ 2)» (Հայաստան-Վրաստան հաղորդիչ գիծ/ենթակայաններ)»</t>
  </si>
  <si>
    <t>30.12.2020թ. -30.12.2030թ.</t>
  </si>
  <si>
    <t>27.05.2016թ.</t>
  </si>
  <si>
    <t>12.03.2016թ.</t>
  </si>
  <si>
    <t>10.03.2021թ. 10.03.2024թ.</t>
  </si>
  <si>
    <t>«Երքաղլույս» ՓԲԸ</t>
  </si>
  <si>
    <t>Երևանի քաղաքային լուսավորության ծրագիր</t>
  </si>
  <si>
    <t xml:space="preserve">03.02.2016թ. կնքված </t>
  </si>
  <si>
    <t>16.10.2018թ. -16.04.2025թ.</t>
  </si>
  <si>
    <t>Հասարակ մուրհակներ և յուրաքանչյուր տարվա դեկտեմբեր ամսվա դրությամբ ձեռք բերված ակտիվներ:  17.05.2005թ. կնքված գրավի պայմանագրով գրավադրված գույքը:</t>
  </si>
  <si>
    <t>6-ամսյա Եվրոibor+1</t>
  </si>
  <si>
    <t>6-ամսյա Եվրոibor+0.75</t>
  </si>
  <si>
    <t>6-ամսյա Եվրոibor+0.693 կամ ֆիքսված</t>
  </si>
  <si>
    <t>01.06.2015թ. 01.06.2044թ.</t>
  </si>
  <si>
    <t>ՀՀ և Զարգացման միջազգային ընկերակցության միջև 28.01.2005թ. կնքված N 653-AM փոխառության համաձայնագիր</t>
  </si>
  <si>
    <t>ՀՀ և Զարգացման միջազգային ընկերակցության միջև 20.07.2005թ. կնքված N 4095-AM փոխառության համաձայնագիր</t>
  </si>
  <si>
    <t>15.12.2015թ. 15.06.2045թ.</t>
  </si>
  <si>
    <t>Հայաստանի Հանրապետության (ԳՖԿ ԾԻԳ ՊՀ) կողմից օգտագործված փոխառությունների համաձայնագիր</t>
  </si>
  <si>
    <t>04.02.2018թ. 04.08.2057թ.</t>
  </si>
  <si>
    <t>«Համո Բեկնազարյանի անվան «Հայֆիլմ» կինոստուդիա» ՓԲԸ</t>
  </si>
  <si>
    <t xml:space="preserve">29.12.2015թ. </t>
  </si>
  <si>
    <t>24.12.2025թ.</t>
  </si>
  <si>
    <t>Պահանջի իրավունքի զիջման պայմանագիր 27.12.2016թ.</t>
  </si>
  <si>
    <t xml:space="preserve"> «ՔոնթուրԳլոբալ  Հիդրո Կասկադ» ՓԲԸ </t>
  </si>
  <si>
    <t>20.12.16թ. Ենթավարկային պայմանագիր</t>
  </si>
  <si>
    <t>02.09.2015թ. Հայաստանի Հանրապետության և Գյուղատնտեսության զարգացման միջազգային հիմնադրամի (ԳԶՄՀ) միջև կնքված «Շուկայավարման հնարավորություն ֆերմերներին» ծրագրի Ֆինանսավորման Համաձայնագիր</t>
  </si>
  <si>
    <t>02.09.2015թ.</t>
  </si>
  <si>
    <t>25.01.2025-25.01.2039թ.թ.</t>
  </si>
  <si>
    <t>15.12.2012թ. 15.06.2026թ.</t>
  </si>
  <si>
    <t>ՀՓԻ</t>
  </si>
  <si>
    <t>29.09.2015թ N6/2015</t>
  </si>
  <si>
    <t>15.11.2039թ.</t>
  </si>
  <si>
    <t>«Երևանի քաղաքային նոր աղբավայր» ՓԲԸ</t>
  </si>
  <si>
    <t>22.12.2017թ.</t>
  </si>
  <si>
    <t>16.04.2018թ. -16.10.2029թ.</t>
  </si>
  <si>
    <t>Ծրագրի շրջանակներում ձեռք բերվող ակտիվները</t>
  </si>
  <si>
    <t>29.12.2017թ.</t>
  </si>
  <si>
    <t>25.12.2012թ. -31.12.2022թ.</t>
  </si>
  <si>
    <t>«Դարդան» ՍՊԸ</t>
  </si>
  <si>
    <t>Համաշխարհային բանկի հաշվին ապրանքային վարկ</t>
  </si>
  <si>
    <t>31.07.2021թ.</t>
  </si>
  <si>
    <t>1. ՀՀ  Արմավիրի մարզ,  գ.Նորակերտ, Նորակերտի խճուղի 10 (վարչական շենք և այլ շինություններ), քաղ. Երևան, Աճառյան փողոց  42բ (կաթսայատան վերնահարկ, պահեստ և այլ շինություններ), շինարարական և այլ տրանսպորտային միջոցներ</t>
  </si>
  <si>
    <t>ԳՖԿ ԾԻԳ (Գյուղատնտեսական տարածքների տնտեսական զարգացում ԳՏՏԶ) IFAD</t>
  </si>
  <si>
    <t>ԳՖԿ ԾԻԳ (Գյուղական ձեռնարկությունների և փոքրածավալ առևտրային գյուղատնտեսության զարգացման ծրագիր ԳՁՓԱԳԶԾ) IDA</t>
  </si>
  <si>
    <t>01.11.2026թ.</t>
  </si>
  <si>
    <t xml:space="preserve">Շուկայական հնարավորություններ ֆերմերներին ծրագիր (ՇՀՖ) </t>
  </si>
  <si>
    <t xml:space="preserve">ԱՅԼ </t>
  </si>
  <si>
    <t xml:space="preserve">20.12.2030թ. </t>
  </si>
  <si>
    <t>30.12.2030թ.</t>
  </si>
  <si>
    <t>30.12.2031թ.</t>
  </si>
  <si>
    <t>30.06.2050թ.</t>
  </si>
  <si>
    <t>Երևանի կոշտ թափոններ  (ՎԶԵԲ-ի ծրագիր)</t>
  </si>
  <si>
    <t>Երևանի կոշտ թափոններ  (ԵՆԲ-ի ծրագիր)</t>
  </si>
  <si>
    <t>1.85% և 0.25% պարտավճար</t>
  </si>
  <si>
    <t>1993-2020թթ</t>
  </si>
  <si>
    <t>2025թ.</t>
  </si>
  <si>
    <t xml:space="preserve">ՀՀ կառավարության 11.06.2020թ.  N 953-Ն որոշում </t>
  </si>
  <si>
    <t xml:space="preserve">«Կորսան Կորվիամ Կոնստրուկսինո» ԲԸ-ի կողմից չվճարված դրամական պահանջներ ունեցող ՀՀ կազմակերպություններին տրամադրվող բյուջետային վարկեր
</t>
  </si>
  <si>
    <t>ՀՀ կառավարության 09.04.2020թ. թիվ 727-Ն որոշում</t>
  </si>
  <si>
    <t xml:space="preserve">«ԱԱԲ Պրոեկտ» ՍՊԸ </t>
  </si>
  <si>
    <t>15.06.2022-15.06.2025թթ.</t>
  </si>
  <si>
    <t>ՀՀ, Կոտայքի մարզ, Արամուսի բազալտի հանքավայրի արդյունահանման Արմենիուս տեղամասը հասցեում գտնվող հողամասի նկատմամբ ընդերքօգտագործման իրավունքը</t>
  </si>
  <si>
    <t>«Շին Թրեյդ» ՍՊԸ</t>
  </si>
  <si>
    <t>10.06.2022-10.06.2025թթ.</t>
  </si>
  <si>
    <t>ք. Երևան, Դավթաշեն 10-րդ փողոց 2/7 բնակելի տուն հասցեում գտնվող 517,54  քմ և 0.096578 հա մակերեսով հողամասը</t>
  </si>
  <si>
    <t>«ՄԼ Մայնինգ» ՍՊԸ</t>
  </si>
  <si>
    <t>IVECO TRAKKER 450 մակնիշի բեռնատար ինքնաթափ (2 հատ), MAN TGA-41 մակնիշի բեռնատար ինքնաթափ  (3 հատ)</t>
  </si>
  <si>
    <t>Արցախի Հանրապետության կառավարություն</t>
  </si>
  <si>
    <t xml:space="preserve">ՀՀ կառավարության 09.04.2020թ. թիվ 727-Ն որոշում                 </t>
  </si>
  <si>
    <t xml:space="preserve">ՀՀ կառավարության 09.04.2020թ. թիվ 727-Ն որոշում                        </t>
  </si>
  <si>
    <t xml:space="preserve">ՀՀ կառավարության 09.04.2020թ. թիվ 727-Ն որոշում                         </t>
  </si>
  <si>
    <t>«Ժակշին» ՍՊԸ</t>
  </si>
  <si>
    <t>«Բիզնես Ալտերնատիվ» ՍՊԸ</t>
  </si>
  <si>
    <t>«Քեյ դի Էյջ» ՍՊԸ</t>
  </si>
  <si>
    <t>«Ռաֆայել» ՍՊԸ</t>
  </si>
  <si>
    <t>«Միրադա» ՍՊԸ</t>
  </si>
  <si>
    <t>«Ավետիք Սարգսյան» ԱՁ</t>
  </si>
  <si>
    <t>«Կամուրջշին» ՓԲԸ</t>
  </si>
  <si>
    <t>«Ինքնաթափ» ՍՊԸ</t>
  </si>
  <si>
    <t>«Արարատ Թորոսյան» ԱՁ</t>
  </si>
  <si>
    <t xml:space="preserve">
Կորոնավիրուսի (COVID-19) տնտեսական հետևանքների չեզոքացման  1-ին միջոցառման շրջանակներում ՀՀ ԿԲ գերմանահայկական հինադրամին վարկավորում</t>
  </si>
  <si>
    <t>Վիբրացիոն գլդոն և հողամաս</t>
  </si>
  <si>
    <t>2 հողամաս</t>
  </si>
  <si>
    <t>«Նաիրիի ՃՇՇ» ԲԲԸ</t>
  </si>
  <si>
    <t>«Կամա» ՍՊԸ</t>
  </si>
  <si>
    <t xml:space="preserve"> ՀՀ էկոնոմիկայի նախարարություն</t>
  </si>
  <si>
    <t xml:space="preserve">
Կորոնավիրուսի (COVID-19) տնտեսական հետևանքների չեզոքացման  19-րդ միջոցառման շրջանակներում իրականացվող վարկավորում</t>
  </si>
  <si>
    <t xml:space="preserve">«Կոտայքի և Գեղարքունիքի ԿԿԹԿ» ՍՊԸ </t>
  </si>
  <si>
    <t>15.02.2018թ.</t>
  </si>
  <si>
    <t>10.07.2020թ. N 8/20 վարկային պայմանագիր</t>
  </si>
  <si>
    <t>«Էս ընդ Եյ Մայնինգ» ՍՊԸ</t>
  </si>
  <si>
    <t>«Ապառաժ» ՍՊԸ</t>
  </si>
  <si>
    <t>«Տնա-Շին Աշոտ» ՍՊԸ</t>
  </si>
  <si>
    <t xml:space="preserve">   Մայր գումար՝                   15.06.2022 -15.06.2025                              Տոկոսագումար՝                 15.09.2020 -15.06.2025 </t>
  </si>
  <si>
    <t xml:space="preserve">   Մայր գումար՝                   25.06.2022 -25.06.2025                              Տոկոսագումար՝                 25.09.2020 -25.06.2025</t>
  </si>
  <si>
    <t xml:space="preserve">   Մայր գումար՝                   10.06.2022 -10.06.2025                              Տոկոսագումար՝                 10.09.2020 -10.06.2025  </t>
  </si>
  <si>
    <t>Շինտեխնիկա` KAMAZ.
SINOTRUK 2011- 2 հատ</t>
  </si>
  <si>
    <t>Շինտեխնիկա՝ YARI ROMORK T-MAX</t>
  </si>
  <si>
    <t>Ավտոմեքենա՝ MERCEDES-BENZ E35O</t>
  </si>
  <si>
    <t xml:space="preserve">   Մայր գումար՝                   10.07.2022 -10.07.2025                              Տոկոսագումար՝                 10.10.2020 -10.07.2025</t>
  </si>
  <si>
    <t xml:space="preserve">   Մայր գումար՝                   25.06.2022 -25.06.2025                              Տոկոսագումար՝                 25.09.2020 -25.06.2025    </t>
  </si>
  <si>
    <t>Մայր գումար՝                   15.07.2022 -15.07.2025                              Տոկոսագումար՝                 15.10.2020 -15.07.2025</t>
  </si>
  <si>
    <t>Կռազ-ցիստեռն</t>
  </si>
  <si>
    <t>Շինտեխնիկա՝ZIL MMZ-45021 2 հատ
ԳՐԵՅԴԵՐ 2 հատ</t>
  </si>
  <si>
    <t xml:space="preserve">  Մայր գումար՝                   25.06.2022 -25.06.2025                              Տոկոսագումար՝                 25.09.2020 -25.06.2025 </t>
  </si>
  <si>
    <t xml:space="preserve"> Մայր գումար՝                   15.07.2022 -15.07.2025                              Տոկոսագումար՝                 15.10.2020 -15.07.2025</t>
  </si>
  <si>
    <t>Սարքավորումներ և շինտեխնիկա, մեքենաներ</t>
  </si>
  <si>
    <t xml:space="preserve">   Մայր գումար՝                   10.07.2022 -10.07.2025                              Տոկոսագումար՝                 10.10.2020 -10.07.2025 </t>
  </si>
  <si>
    <t xml:space="preserve">   Մայր գումար՝                   30.07.2022 -30.07.2025                              Տոկոսագումար՝                 30.10.2020 -30.07.2026</t>
  </si>
  <si>
    <t xml:space="preserve">   Մայր գումար՝                   25.08.2022 -25.08.2025                              Տոկոսագումար՝                 25.11.2020 -25.09.2025</t>
  </si>
  <si>
    <t xml:space="preserve"> Շին.տեխնիկա` 11 հատ</t>
  </si>
  <si>
    <t>Շինտեխնիկա և ավտոմեքենա՝ 2 հատ</t>
  </si>
  <si>
    <t xml:space="preserve"> Մայր գումար՝                   25.09.2022 -25.09.2025                              Տոկոսագումար՝                 25.12.2020 -25.09.2025</t>
  </si>
  <si>
    <t>5 հատ SCANIA &lt;Քաջ Տրանս&gt; ՍՊԸ-ի</t>
  </si>
  <si>
    <t>Կանոնադրական կապիտալում սեփ. իրավունքով պատկանող բաժնեմասերը, ՀՀ ք. Երևան, Փ. Բյուզանդի 15 հասցեում գտնվող հյուրանոցային համալիրը</t>
  </si>
  <si>
    <t>28.06.2027թ.</t>
  </si>
  <si>
    <t xml:space="preserve"> ՀՀ ք. Երևան, Փ. Բյուզանդի 15 հասցեում գտնվող հյուրանոցային համալիրը</t>
  </si>
  <si>
    <t xml:space="preserve">Ծրագիրն իրականացնողի կանոնադրությամբ նախատեսված Երևան քաղաքիարտաքին լուսավորության ցանցի շահագործման, հիմնանորագման և պահպանման ծրագրի իրականացման համար տրամադրվող ֆինանսական միջոցները </t>
  </si>
  <si>
    <t>Մասհանման ամսաթվից  մինչև 28 տարի (արտոնյալ ժամկետ՝ 5 տարի)</t>
  </si>
  <si>
    <t>«Կարեն Դեմերճյանի անվան Երևանի մետրոպոլիտեն» ՓԲԸ (ՎԶԵԲ II)</t>
  </si>
  <si>
    <t>«Կարեն Դեմերճյանի անվան Երևանի մետրոպոլիտեն» ՓԲԸ (ԵՆԲ I)</t>
  </si>
  <si>
    <t>«Կարեն Դեմերճյանի անվան Երևանի մետրոպոլիտեն» ՓԲԸ  (ԵՆԲ II)</t>
  </si>
  <si>
    <t>«Կարեն Դեմերճյանի անվան Երևանի մետրոպոլիտեն» ՓԲԸ (ՎԶԵԲ I)</t>
  </si>
  <si>
    <t>CAT մակնիշի ինքնաթափ, hողամաս, TOYOTA</t>
  </si>
  <si>
    <t>«Դենտալ Իմպորտ» ՍՊԸ</t>
  </si>
  <si>
    <t>Մայր գումար՝                   20.11.2022 -20.11.2025                              Տոկոսագումար՝                 20.02.2021 -20.11.2025</t>
  </si>
  <si>
    <t>թվով 21 շինարարական տեխնիկա</t>
  </si>
  <si>
    <t>«Սուարդի» ԲԸ Հ/Մ</t>
  </si>
  <si>
    <t>Մայր գումար՝                   05.11.2022 -05.11.2025                              Տոկոսագումար՝                 05.02.2021 -05.11.2025</t>
  </si>
  <si>
    <t>11 հատ տրանսպորտային միջոց և 19 հատ շին.տեխնիկա</t>
  </si>
  <si>
    <t>&lt;&lt;Աննա Ավետիսյան&gt;&gt;ԱՁ</t>
  </si>
  <si>
    <t>2 հատ վերամբարձ մեքենա և ասֆալտ փռող մեքենա</t>
  </si>
  <si>
    <t>«Քաջ-Տրանս» ՍՊԸ</t>
  </si>
  <si>
    <t>1 հատ SCANIA</t>
  </si>
  <si>
    <t xml:space="preserve">
Կորոնավիրուսի (COVID-19) տնտեսական հետևանքների չեզոքացման  2-րդ միջոցառման շրջանակներում իրականացվող վարկավորում</t>
  </si>
  <si>
    <t>25,01,2021թ. 25,12,2040թ.</t>
  </si>
  <si>
    <t>07.05.2024թ.</t>
  </si>
  <si>
    <t>30.04.2024թ.</t>
  </si>
  <si>
    <t xml:space="preserve">
 ՀՀ ԿԲ գերմանահայկական հիմնադրամին վարկավորում</t>
  </si>
  <si>
    <t xml:space="preserve">
Կորոնավիրուսի (COVID-19) տնտեսական հետևանքների չեզոքացման  3-րդ միջոցառման շրջանակներում ՀՀ ԿԲ գերմանահայկական հիմնադրամին վարկավորում</t>
  </si>
  <si>
    <t>25.12.2028թ.</t>
  </si>
  <si>
    <t xml:space="preserve">25.12.2020թ. Փոխառության պայմանագիր Н420-20 ( ՀՀ կառավարության 27.05.202թ.   854-Լ որոշում, ՀՀ կառավարության 02․07․2020թ․ 1094-Ն որոշում, ՀՀ կառավարության 27.07.2020թ. 1233-Ն որոշում)            </t>
  </si>
  <si>
    <t xml:space="preserve">   ՀՀ կառավարության 26․03․2020թ․ 356-Լ որոշում, ՀՀ կառավարության 31․03․2020թ․ 416-Լ որոշում           Գործակալական պայմանագիր 16/120520-1</t>
  </si>
  <si>
    <t xml:space="preserve">      ՀՀ կառավարության 26․03․2020թ․ 356-Լ որոշում, ՀՀ կառավարության 31․03․2020թ․ 416-Լ որոշում,          Գործակալական պայմանագիր 16/220420-1      </t>
  </si>
  <si>
    <t>10.12.2024թ.-10.12.2026թ.</t>
  </si>
  <si>
    <t>2% մինչև 31/12/2023, 01/01/2024-ից - 10.4%</t>
  </si>
  <si>
    <t>2% մինչև 31/12/2023, 01/01/2024-ից- 8%</t>
  </si>
  <si>
    <t xml:space="preserve">Մայր գումար՝                   15.12.2022 -15.12.2025                              Տոկոսագումար՝                 15.03.2021 -15.12.2025 </t>
  </si>
  <si>
    <t>31.03.2020թ
16/310320-1 ֆինանսական գործակալության պայմանագիր, 02.06.2020թ. Փոփոխություններ և լրացումներ կատարելու մասին համաձայնագիր</t>
  </si>
  <si>
    <t>25.06.2022թ. -25.06.2032թ.</t>
  </si>
  <si>
    <t>դրամ</t>
  </si>
  <si>
    <t>հազ.դրամ</t>
  </si>
  <si>
    <t>հազ.դոլար</t>
  </si>
  <si>
    <t>Ընդհանուր վարկ</t>
  </si>
  <si>
    <t>ներքին վարկեր</t>
  </si>
  <si>
    <t>արտաքին վարկեր</t>
  </si>
  <si>
    <t>Ենթավարկի, բյուջետային վարկի, պայմանագրով հանձնված պարտավորության մարման ժամկետը</t>
  </si>
  <si>
    <t>Ենթավարկի, բյուջետային վարկի տոկոսադրույքը</t>
  </si>
  <si>
    <t>Ենթավարկի, բյուջետային վարկի, պայմանագրով փոխանցված պարտավորության նախատեսված գումարը</t>
  </si>
  <si>
    <t>Ենթավարկի, բյուջետային վարկի, պայմանագրով փոխանցված պարտավորության գումարը ԱՄՆ դոլարով</t>
  </si>
  <si>
    <t>Ենթավարկի, բյուջետային վարկի, պայմանագրով փոխանցված պարտավորության փաստացի  գումարը</t>
  </si>
  <si>
    <t>04.06.2022թ.</t>
  </si>
  <si>
    <t>2 հատ SHACMAN տեսակի շինտեխնիկա</t>
  </si>
  <si>
    <t xml:space="preserve">ք. Երևան,  Քրիստափորի փողոց 1/3 տարածք հասարակական նշանակության շինություն </t>
  </si>
  <si>
    <t xml:space="preserve">Ընդամենը Կորոնավիրուսի (COVID-19) տնտեսական հետևանքների չեզոքացման հետ կապված </t>
  </si>
  <si>
    <t>«Կորսան Կորվիամ Կոնստրուկսինո» ԲԸ-ի  հետ կապված և այլ վարկեր</t>
  </si>
  <si>
    <t>31.03.2025թ.</t>
  </si>
  <si>
    <t xml:space="preserve">ՀՀ կառավարության 25.03.2021թ.  N 415-Ն որոշում </t>
  </si>
  <si>
    <t>25.06.2023թ. -25.06.2033թ.</t>
  </si>
  <si>
    <t>16.10.2021թ. -16.10.2033թ.</t>
  </si>
  <si>
    <t>Կոտայքի և Գեղարքունիքի մարզերի կոշտ թափոնների կառավարման ծրագիր</t>
  </si>
  <si>
    <t>16.04.2023թ.  16.10.2030թ.</t>
  </si>
  <si>
    <t xml:space="preserve">30.06.2023թ. </t>
  </si>
  <si>
    <t>28.07.2005թ. Ենթավարկային պայմանագիր</t>
  </si>
  <si>
    <t>Ծանոթագրություն</t>
  </si>
  <si>
    <t>Համաձայն 26.04.2017թ. կնքված համաձայնագրի  մասհանման վերջնաժամկետ է սահմանվել 30.06.2018թ. (30.06.2016 փոխարեն)
Համաձայն 23.11.2018թ. կնքված համաձայնագրի մասհանման վերջնաժամկետ է սահմանվել 31.12.2019թ. (30.06.2018 փոխարեն)
Համաձայն 14.02.2020թ. նքված համաձայնագրի գումարը նվազել է 3,5 մլն դոլարով` կազմելով 35,5 մլն, իսկ մասհանման վերջնաժամկետ է սահմանվել 31.12.2020թ. (31.12.2020 փոխարեն)
30.04.2021թ. դրությամբ առկա 1,434,414.80 ԱՄՆ դոլար ենթավարկի մնացորդը պետք է չեղարկվի (փոփոխոիթյան համաձայնագիրը կնքման փուլում է)</t>
  </si>
  <si>
    <t>Համաձայն 13.07.20թ. կնքված համաձայնագրի գումարը նվազել է 2,5 մլն դոլարով` կազմելով 37,5 մլն
Համաձայն 14.02.2020թ. կնքված համաձայնագրի գումարը նվազել է 1,5 մլն դոլարով` կազմելով 36,0 մլն և մասհանման վերջնաժամկետ է սահմանվել 31.12.2020թ. 
Համաձայն 03.02.2021թ. կնքված համաձայնագրով մասհանման վերջնաժամկետ է սահմանվել 31.12.2023թ.(նախկին 31.12.2020թ փոխարեն)</t>
  </si>
  <si>
    <t>29.06.2018թ. Համաձայնագրով 21.794.486  փոխարինվել է 28.194.486
14.02.2020թ. Համաձայնագրով 28.194.486 դոլար գումարը նվազել է 5 մլն և   փոխարինվել է 23.194.486
03.02.2021թ. Համաձայնագրով մասհանման ժամկետը երկարաձգվել է 31.12.2023 (31.12.2020 փոխարեն)</t>
  </si>
  <si>
    <t>11.06.2018թ. Համաձայնագրով 30.205.514  փոխարինվել է 22.305.514
14.02.2020թ. Համաձայնագրով 22.305.514    փոխարինվել է 16.662.617</t>
  </si>
  <si>
    <t>18.06.2020թ. Համաձայնագրով 15.192.292 SDR փոխարինվել է 13.988.153 SDR, իսկ մասհանման ժամկետը երկարաձգվել է մինչև 30.06.2022թ (30.06.2020 փոխարեն)</t>
  </si>
  <si>
    <t>25.05.2020թ. Համաձայնագրով 8.829.708 SDR փոխարինվել է 10.098.535 SDR, իսկ մասհանման ժամկետը երկարաձգվել է մինչև 30.06.2022թ (30.06.2020 փոխարեն)</t>
  </si>
  <si>
    <t>ՀՀ կառ. 29.04.2021թ. N664-Ա որոշման համաձայն Ընկերությանը տրամադրված վարկի մարման ժամկետը հետաձգվել է 2020-ից 2023թ.</t>
  </si>
  <si>
    <t>ՀՀ կառավարության 07.12.2017թ. N 1585-Ն որոշման համաձայն 163,143,274 դրամ գումարի չափով մայր գումարի նվազեցում</t>
  </si>
  <si>
    <t xml:space="preserve">Համաձայն ՀՀ կառ.24.12.20թ. 2176-Ա որոշման, 25.12.2020թ.-ին կնքվել է համաձայնագիր, որով փոփոխվել են վարկի մարման ժամկետն ու տոկոսը </t>
  </si>
  <si>
    <t xml:space="preserve">Համաձայն ՀՀ կառ.24.12.20թ. 2174-Ն որոշման, 25.12.2020թ.-ին կնքվել է համաձայնագիր, որով փոփոխվել են  վարկի մարման ժամկետն ու տոկոսը </t>
  </si>
  <si>
    <t>ՀՀ կառ. 03.08.2017թ. N921-Ա որոշման համաձայն Ընկերությանը տրամադրված վարկի մարման ժամկետները հետաձգել են, տոկոսների վճարումից ազատվել է, իսկ հաշվարկված տույժի վճարումը ներվել է</t>
  </si>
  <si>
    <t>Ժամկետանց</t>
  </si>
  <si>
    <t>կատարվել են համապատասխան փոփոխություններ</t>
  </si>
  <si>
    <t>Վարկի մայր գումարի և տոկոսագումարի վճարումները հետաձգվել են, տոկոսագումարները կապիտալիզացվել են:</t>
  </si>
  <si>
    <t>Վարկի մայր գումարի և տոկոսագումարի վճարումները հետաձգվել են:</t>
  </si>
  <si>
    <t>02.07.2015թ. N 1247-Ն որոշմամբ  մարման ժամկետը 2019թ. երկարաձգվել է մինչև 2026թ.</t>
  </si>
  <si>
    <t>1.404%                   1.056%</t>
  </si>
  <si>
    <t>15.11.2012թ. Անշարժ Գույքի Գրավի Պայամանգրի համաձայն` («Պետական գույքի գույքագրման և գնահատման գործակալություն» ՊՈԱԿ-ի կողմից 07.06.2012թ. կազմված գնահատման հաշվետվության համաձայն գրավի առարկայի շուկայական արժեքը 2012թ. գնահատման ժամանակահատվածի դրությամբ կազմել է 280,511,000 ՀՀ դրամ, կադաստրային արժեքը` համաձայն ՀՀ կառավարությանն առընթեր անշարժ գույքի կադաստրի պետական կոմիտեի 14.11.2012թ. N ԱՏ-12/11/2012-1-0280 տեղեկանքի կազմում է հա 14,646,180 ՀՀ դրամ) Աջափնյակ Հալաբյան փողոց թիվ 38/7 հասցեում գտնվող հողատարածքը (1.34999 հա -0.9225=0.42749 հա), ապագայում կառուցվելիք անշարժ գույքը  և «ԱյԲիԷյ մոլեկուլյար» կազմակերպությունից ձեռք բերվելիք «Ցիկլոն 18/18» ցիկլոտրոնը,ինչպես նաև ապագայում ձեռք բերվելիք սարքավորումները` դրանց արժեքը կանոնադրական կապիտալ ներդրումից հետո: Հայաստանի Հանրապետության առողջապահության նախարարին` Հայաստանի Հանրապետության օրենսդրությամբ սահմանված կարգով ապահովել ընկերության կանոնադրական կապիտալի ավելացումը՝ սարքավորումների ձեռքբերման և մոնտաժման աշխա¬¬տանքների արժեքի չափով, լրացուցիչ բաժնետոմսեր տեղաբաշխելու միջոցով</t>
  </si>
  <si>
    <t xml:space="preserve">ՀՀ կառավարության 14.10.2021թ.  N 1688-Ն որոշում </t>
  </si>
  <si>
    <t>20.10.2021թ. N 10/21 վարկային պայմանագիր</t>
  </si>
  <si>
    <t>25.12.2023թ. -25.06.2033թ.</t>
  </si>
  <si>
    <t>Գյուղատնտեսության Զարգացման Միջազգային Հիմնադրամ</t>
  </si>
  <si>
    <t>Ենթակառուցվածքների և գյուղական ֆինանսավորման աջակցություն</t>
  </si>
  <si>
    <t xml:space="preserve"> ԳԶՄՀ միջև  12.11.2014թ-ին կնքված &lt;&lt;Ենթակառուցվածքների և գյուղական ֆինանսավորման աջակցություն&gt;&gt;  համաձայնագիր</t>
  </si>
  <si>
    <t>30.06.2025թ. 31.12.2044թ.</t>
  </si>
  <si>
    <t>&lt;&lt; Երևանի  ավտոբուս&gt;&gt; ՓԲԸ</t>
  </si>
  <si>
    <t>Երևանի քաղաքային ավտոբուսներ ծրագիր</t>
  </si>
  <si>
    <t>ՎԶԵԲ</t>
  </si>
  <si>
    <t>SOFR</t>
  </si>
  <si>
    <t>ՀՀ և Վերակառուցման և Զարգացման Եվրոպական Բանկի միջև 24.11.2021թ. կնքված Համաձայնագիր, 04.07.2022թ. Կնքված իրականացման համաձայնագիր</t>
  </si>
  <si>
    <t>Գրավի առարկան հանդիսանալու է ձեռք վբերված հիմանկան միջոցները</t>
  </si>
  <si>
    <t>01.07.2023-20.05.2033թ.թ.</t>
  </si>
  <si>
    <t>10.06.2023-08.11.2031թ.թ.</t>
  </si>
  <si>
    <t>10.06.2023-19.03.2033թ.թ.</t>
  </si>
  <si>
    <t>10.06.2023-03.09.2029թ.թ.</t>
  </si>
  <si>
    <t>07.04.2010թ. N 01 կնքված պահանջի իրավունքի զիջման մասին պայմանագիր, 27.12.2017թ. կնքված պայմանագրի փոփոխություն` Համաձայնագիր N 1, 17.04.2019թ. կնքված պայմանագրի փոփոխություն` Համաձայնագիր N 2, 09.04.2021թ. Կնքված հաշտության համաձայնագիր</t>
  </si>
  <si>
    <t>16.04.2025թ.-16.10.2036թ.</t>
  </si>
  <si>
    <t>Sofr+ փոփոխական մարժա</t>
  </si>
  <si>
    <t>Sofr + փոփոխական մարժա և 0.25% պարտավճար</t>
  </si>
  <si>
    <t>30.12.2023թ.</t>
  </si>
  <si>
    <t xml:space="preserve">      ՀՀ կառավարության 26․03․2020թ․ 356-Լ որոշում, ՀՀ կառավարության 25․03․2020թ․ 417-Լ որոշում,          Գործակալական պայմանագիր 16.1/050421-1      </t>
  </si>
  <si>
    <t>Անշարժ և շարժական գույք, բաժնետոմսեր</t>
  </si>
  <si>
    <t>«Սահակյանշին» ՓԲԸ</t>
  </si>
  <si>
    <t>Բյուջետային վարկ</t>
  </si>
  <si>
    <t>25.09.2023թ.</t>
  </si>
  <si>
    <t>2026թ.</t>
  </si>
  <si>
    <t>Գրավով՝ քաղ. Երևան, Մալաթիա-Սեբաստիա, Ծիծեռնակաբերդի խճուղի 39/1 հասցեում գտնվող հողամասը</t>
  </si>
  <si>
    <t>«Հայ-Ալմաստ» ՓԲԸ-</t>
  </si>
  <si>
    <t xml:space="preserve">09.11.2023թ. N 2/2023 </t>
  </si>
  <si>
    <t>Վարկի հաշվին ձեռք բերված հայկական կոնյակի սպիրտ</t>
  </si>
  <si>
    <t xml:space="preserve">Վարկը ամբողջությամբ մարվել է 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</si>
  <si>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31.12.2023թ. դրությամբ </t>
  </si>
  <si>
    <t>ՀՀ պետական բյուջե</t>
  </si>
  <si>
    <t>1.8% և 0.25% պարտավճար</t>
  </si>
  <si>
    <t>ՌԴ կառավարություն</t>
  </si>
  <si>
    <t xml:space="preserve">Կայունացման դեպոզիտ հաշիվ </t>
  </si>
  <si>
    <t>Կայունացման դեպոզիտ հաշիվ (եվրոբոնդ)</t>
  </si>
  <si>
    <t xml:space="preserve">      ՀՀ կառավարության 26․03․2020թ․ 356-Լ որոշում, ՀՀ կառավարության 25․03․2020թ․ 417-Լ որոշում,          Գործակալական պայմանագիր 05.04.2021թ. 16.1/050421-1      </t>
  </si>
  <si>
    <t xml:space="preserve">      ՀՀ կառավարության 26․03․2020թ․ 356-Լ որոշում, ՀՀ կառավարության 31․03․2020թ․ 416-Լ որոշում,          Գործակալական պայմանագիր 22.04.2020թ. 16/220420-1      </t>
  </si>
  <si>
    <t xml:space="preserve">   ՀՀ կառավարության 26․03․2020թ․ 356-Լ որոշում, ՀՀ կառավարության 31․03․2020թ․ 416-Լ որոշում           Գործակալական պայմանագիր 12.05.2020թ. 16/120520-1</t>
  </si>
  <si>
    <t>«Համահայկական ֆոնդ» փակ ոչ հրապարակային պայմանագրային ներդրումային ֆոնդ</t>
  </si>
  <si>
    <t>2028թ.</t>
  </si>
  <si>
    <t xml:space="preserve">«ՋԻ ԹԻ ԲԻ ՓՐՈՓՐԹԻՍ» ՍՊԸ-ին պատկանող Արարատի մարզի Երասխ բնակավայրում գտնվող գույքը և «ՅՈՒՆԻՈՆ-ՍԵՐՎԻՍ» ՍՊԸ-ին պատկանող՝ քաղ. Երևան, Արաբկիր, Կոմիտասի պողոտա 53, 53/9 և 53/10 հասցեներում գտնվող անշարժ գույքերը </t>
  </si>
  <si>
    <t>«Հայ-Ալմաստ» ՓԲԸ</t>
  </si>
  <si>
    <t>07.04.2010թ. N 01 կնքված պահանջի իրավունքի զիջման մասին պայմանագիր, 27.12.2017թ. կնքված պայմանագրի փոփոխություն` Համաձայնագիր N 1, 17.04.2019թ. կնքված պայմանագրի փոփոխություն` Համաձայնագիր N 2, 09.04.2021թ. Կնքված, հաշտության համաձայնագիր, 31.05.2023թ. կնքված Հաշտության համաձայնագիր</t>
  </si>
  <si>
    <t>Վարկի կարգավիճակ</t>
  </si>
  <si>
    <t>իրատեսական</t>
  </si>
  <si>
    <t>Վարկի տեսակը</t>
  </si>
  <si>
    <t>Ենթավարկ</t>
  </si>
  <si>
    <t>Համաֆինանսավորում</t>
  </si>
  <si>
    <t>ԱՄՆտթորանք</t>
  </si>
  <si>
    <t>անիրատեսական</t>
  </si>
  <si>
    <t xml:space="preserve">Տնտեսության կայունացման վարկավորման ծրագիր </t>
  </si>
  <si>
    <t>Վարկային պայմանագրի կնքման ամսաթիվը և համարը</t>
  </si>
  <si>
    <t>30.01.2009թ.               BMZ ID 2007.66.253</t>
  </si>
  <si>
    <t xml:space="preserve">Հիմնական միջոցներ </t>
  </si>
  <si>
    <t>21.12.1998թ.</t>
  </si>
  <si>
    <t>19.12.2003</t>
  </si>
  <si>
    <t>17.06.2021թ. N9/2021</t>
  </si>
  <si>
    <t>10.07.2020թ. N 8/2020 վարկային պայմանագիր</t>
  </si>
  <si>
    <t>08.04.2015թ.</t>
  </si>
  <si>
    <t>09.12.2014թ.</t>
  </si>
  <si>
    <t>16.03.2015թ.</t>
  </si>
  <si>
    <t>11.12.2015թ.</t>
  </si>
  <si>
    <t>01.06.2011թ.</t>
  </si>
  <si>
    <t>06.08.2014թ.</t>
  </si>
  <si>
    <t>05.09.2014թ.</t>
  </si>
  <si>
    <t>30.03.1999թ.             N 3175 AM</t>
  </si>
  <si>
    <t>09.12.2005թ.   16.05.2008թ.   16.03.2010թ.</t>
  </si>
  <si>
    <t xml:space="preserve">25.07.1997թ.   11.04.2001թ.   </t>
  </si>
  <si>
    <t>29.03.2005թ.              ARM-P2</t>
  </si>
  <si>
    <t>18.02.1999թ.             ARM-P1</t>
  </si>
  <si>
    <t>«Երևան ՋԷԿ» ՓԲԸ-ի հետ 16.02.2004թ. կնքված N 4(48)/CP-2004 պարտքի փոխանցման պայմանագիր</t>
  </si>
  <si>
    <t xml:space="preserve">20.07.2005թ.             </t>
  </si>
  <si>
    <t xml:space="preserve">«Քաղաքային ջեռուցման ծրագիր»           ՀՀ կառավարության 16.02.2012թ. N174-Ն որոշում </t>
  </si>
  <si>
    <t>29.12.1995թ.</t>
  </si>
  <si>
    <t>05.02.2015թ.</t>
  </si>
  <si>
    <t>12.05.2016թ.</t>
  </si>
  <si>
    <t>10.03.2010թ.</t>
  </si>
  <si>
    <t>03.08.2012թ.</t>
  </si>
  <si>
    <t>10.08.2010թ.</t>
  </si>
  <si>
    <t>02.05.2013թ.    10.05.2013թ.</t>
  </si>
  <si>
    <t>«Հեր-Հեր» հիդրոէլեկտրակայան» ՓԲԸ</t>
  </si>
  <si>
    <t>05.08.2025թ.</t>
  </si>
  <si>
    <t>18.12.2019թ.</t>
  </si>
  <si>
    <t>«Կարեն Դեմիրճյանի անվան մարզահամերգային համալիր» ՓԲԸ</t>
  </si>
  <si>
    <t>Վարկային պայմանագիր</t>
  </si>
  <si>
    <t>25.12.2026թ. -25.12.2036թ.</t>
  </si>
  <si>
    <t>02.12.2024թ. N2/2024</t>
  </si>
  <si>
    <t>15.12.2026թ. -15.06.2029թ.</t>
  </si>
  <si>
    <t>02.12.2024թ. N /24 վարկային պայմանագիր</t>
  </si>
  <si>
    <t xml:space="preserve">ՀՀ կառավարության 21.11.2024թ.  N 1840-Ն որոշում </t>
  </si>
  <si>
    <t>«Արտաշատի ԲԿ» ՓԲԸ*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</si>
  <si>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31.01.2025թ. դրությամբ </t>
  </si>
  <si>
    <t xml:space="preserve">«Հայաստանի էներգետիկ անցումն ապահովող ծրագիր» </t>
  </si>
  <si>
    <t>03.02.2025թ.</t>
  </si>
  <si>
    <t>08.08.2024թ.</t>
  </si>
  <si>
    <t xml:space="preserve">25.12.2024թ. Թիվ 5/2024  </t>
  </si>
  <si>
    <t>10.12.2024թ.</t>
  </si>
  <si>
    <t>16.12.2026թ.</t>
  </si>
  <si>
    <t>Մարված</t>
  </si>
  <si>
    <t>Ճանաչվել է սնանկ</t>
  </si>
  <si>
    <t>2027թ.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</si>
  <si>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28.02.2025թ. դրությամբ </t>
  </si>
  <si>
    <t>02.02.2024թ․    N 1/2024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</si>
  <si>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31.03.2025թ. դրությամբ </t>
  </si>
  <si>
    <t>Ապրանքային վարկ</t>
  </si>
  <si>
    <t>Պահանջի իրավունքի զիջում</t>
  </si>
  <si>
    <t>Քանակը</t>
  </si>
  <si>
    <t xml:space="preserve">ՀՀ պետական բյուջեից, միջազգային կազմակերպությունների և օտարերկրյա պետությունների կողմից ներգրաված վարկային միջոցների հաշվին տրամադրված բյուջետային վարկերի և ենթավարկերի  վերաբերյալ 30.04.2025թ. դրությամբ </t>
  </si>
  <si>
    <t>«Հայփոստ» ՓԲԸ</t>
  </si>
  <si>
    <t>22.04.2025թ.N 1/2025</t>
  </si>
  <si>
    <t>25.12.2025թ.</t>
  </si>
  <si>
    <t>«Հայփոստ» ՓԲԸ-ի՝ շահութահարկի գծով առաջացած պարտավորության մարման նպատակով</t>
  </si>
  <si>
    <t>Վարկի, ենթավարկի տրամադրման հիմքը</t>
  </si>
  <si>
    <t>Վարկի աղբյուրը / Դոնոր կազմակերպությունը</t>
  </si>
  <si>
    <t>Որոտանի հիդրոէլեկտրակայանների վերազինում</t>
  </si>
  <si>
    <t>ՀՀ կառավարության 21.11.2024թ. N 1840-որոշում</t>
  </si>
  <si>
    <t>ՀՀ կառավարության և Ֆրանսիայի հանրապետության կառավարության միջև 29.12.1995թ. կնքված ֆինանսական արձանագրություն</t>
  </si>
  <si>
    <t>Ծրագրի անվանումը</t>
  </si>
  <si>
    <t>«Իրան-Հայաստան 400 կՎ էլեկտրահաղորդման օդային գծի և համապատասխան ենթակայանի կառուցում» ծրագրի շրջանակներում 2 հատ 400/220/20 կՎ 200 ՄՎԱ հզորությամբ ավտոտրանսֆորմատորների իրանի՝ ներառյալ ակտիվ մասի և բեռի տակ լարման կարգավորիչների լրակազմի ձեռքբերման ֆինանսավորում</t>
  </si>
  <si>
    <t>02.12.2024թ. N 3/24 վարկային պայմանագիր</t>
  </si>
  <si>
    <t>ՀՀ տարածքում ատոմային էլեկտրակայանի շահագործման ժամկետի երկարաձգման աշխատանքների ֆինանսավորում</t>
  </si>
  <si>
    <t>«Երևանի մետրոպոլիտենի վերականգնում» I ծրագիր (ՎԶԵԲII)</t>
  </si>
  <si>
    <t>19.12.2003թ.</t>
  </si>
  <si>
    <t>ՀՀ կառավարության 19.07.2012թ. N 900-Ա որոշում</t>
  </si>
  <si>
    <t>11.05.2015թ.</t>
  </si>
  <si>
    <t>03.02.2016թ.</t>
  </si>
  <si>
    <t>17.04.225թ. N 445-Ն որոշում</t>
  </si>
  <si>
    <t>15.11.2024թ. N 1796-Ն որոշում</t>
  </si>
  <si>
    <t xml:space="preserve">10.07.2020թ. N 8/2020 </t>
  </si>
  <si>
    <t xml:space="preserve"> ՀՀ կառավարության 20.06.2011թ.  N  681 - Ա որոշում</t>
  </si>
  <si>
    <t>ՀՀ կառավարության 02.08.2012թ. N 1018  -Ն որոշում</t>
  </si>
  <si>
    <t>ՀՀ կառավարության 06.02.2014թ.  N  194 -Ն որոշում</t>
  </si>
  <si>
    <t>ՀՀ կառավարության 10.12.2015թ. N 1436-Ն որոշում</t>
  </si>
  <si>
    <t xml:space="preserve">24.11.2021թ. </t>
  </si>
  <si>
    <t>04.07.2022թ. Կնքված իրականացման համաձայնագիր</t>
  </si>
  <si>
    <t>ՀՀ կառավարութւյան 13.01.2022թ. N 45-Ա որոշում</t>
  </si>
  <si>
    <t>30.01.2009թ.               BMZ ID 2007.66.253 Վարկային պայմանագիր</t>
  </si>
  <si>
    <t>21.12.1998թ. Վարկային պայմանագիր</t>
  </si>
  <si>
    <t>09.12.2014թ. Վարկային պայմանագիր</t>
  </si>
  <si>
    <t>16.03.2015թ. Վարկային պայմանագիր</t>
  </si>
  <si>
    <t>01.06.2011թ. Վարկային պայմանագիր</t>
  </si>
  <si>
    <t>06.08.2014թ. Վարկային պայմանագիր</t>
  </si>
  <si>
    <t>08.04.2015թ.Վարկային պայմանագիր</t>
  </si>
  <si>
    <t>08.08.2024թ. Վարկային պայմանագիր</t>
  </si>
  <si>
    <t>05.09.2014թ. Վարկային պայմանագիր</t>
  </si>
  <si>
    <t>30.03.1999թ. N 3175 AM Վարկային պայմանագիր</t>
  </si>
  <si>
    <t>18.02.1999թ.             ARM-P1 Վարկային պայմանագիր</t>
  </si>
  <si>
    <t>20.07.2005թ.      Վարկային պայմանագիր</t>
  </si>
  <si>
    <t>25.07.1997թ. և  11.04.2001թ. կնքված   Ֆինանսական համագրծակցության համաձայնագիր</t>
  </si>
  <si>
    <t xml:space="preserve">25.07.1997թ. և  11.04.2001թ.   </t>
  </si>
  <si>
    <t>09.12.2005թ.   16.05.2008թ.   16.03.2010թ. Վարկային պայմանագրեր</t>
  </si>
  <si>
    <t>29.03.2005թ.              ARM-P2 Վարկային պայմանագիր</t>
  </si>
  <si>
    <t>23.12.1994թ.</t>
  </si>
  <si>
    <t xml:space="preserve">28.01.2005թ.  N 653-AM </t>
  </si>
  <si>
    <t>Փոխառության Համաձայնագիր</t>
  </si>
  <si>
    <t xml:space="preserve">28.07.2005թ. </t>
  </si>
  <si>
    <t>19.12.2003թ. Ֆինանսական համագործակության համաձայնագիր</t>
  </si>
  <si>
    <t>17.07.2020թ.</t>
  </si>
  <si>
    <t>06.07.2020թ.</t>
  </si>
  <si>
    <t>08.07.2020թ.</t>
  </si>
  <si>
    <t>26.06.2020թ.</t>
  </si>
  <si>
    <t>10.06.2020թ.</t>
  </si>
  <si>
    <t>08.06.2020թ.</t>
  </si>
  <si>
    <t>05.06.2020թ.</t>
  </si>
  <si>
    <t>24.07.2020թ.</t>
  </si>
  <si>
    <t>24.08.2020թ.</t>
  </si>
  <si>
    <t>16.11.2020թ.</t>
  </si>
  <si>
    <t>24.09.2020թ.</t>
  </si>
  <si>
    <t>16.06.2020թ.</t>
  </si>
  <si>
    <t>23.06.2020թ.</t>
  </si>
  <si>
    <t>30.10.2020թ.</t>
  </si>
  <si>
    <t>25.08.2020թ.</t>
  </si>
  <si>
    <t xml:space="preserve">Կարեն Դեմիրճյանի անվան մարզահամերգային համալիրի օդափոխության համակարգի վերազինման, հակահրդեհային համակարգի ստեղծման և նշված համակարգերի վերազինման նպատակով էլեկտրական համակարգի արդիականացում </t>
  </si>
  <si>
    <t>ՀՀ կառավարության 24.12.2024թ. թիվ 2047-Ն որոշում</t>
  </si>
  <si>
    <t>Առողջապահական համակարգի կազմակերպությունների ֆինանսական վիճակի բարելավման ծրագիր</t>
  </si>
  <si>
    <t>0.0 1%</t>
  </si>
  <si>
    <t>փոխառություն թիվ 730-AM ծրագիր</t>
  </si>
  <si>
    <t xml:space="preserve"> 455-AM պայմանագիր</t>
  </si>
  <si>
    <t>561-AM համաձայնագիր</t>
  </si>
  <si>
    <t>փոխառություն թիվ 2000000779 (IRFSP)  ծրագիր</t>
  </si>
  <si>
    <t>ՀՀ և Վերակառուցման և Զարգացման Եվրոպական Բանկի միջև 11.12.2015թ. կնքված Համաձայնագրի շրջանակներում 22.12.17թ. ՀՀ ՖՆ և &lt;&lt;Երևանի քաղաքային նոր աղբավայր&gt;&gt; ՓԲԸ-ի միջև կնքված Ենթավարկային պայմանագիր</t>
  </si>
  <si>
    <t xml:space="preserve">ՀՀ և Վերակառուցման և Զարգացման Եվրոպական Բանկի միջև 05.04.2016թ. կնքված Համաձայնագրի շրջանակներում  ՀՀ ՖՆ և &lt;&lt;Կոտայքի և գեղարքունիքի ԿԿԹԿ&gt;&gt; ՍՊԸ-ի միջև 30.10.16թ կնքված Ենթավարկային պայմանագիր </t>
  </si>
  <si>
    <t xml:space="preserve"> ՀՀ կառավարության 10.06.2015թ. N 638-Ն որոշում</t>
  </si>
  <si>
    <t>11.01.2024 թ․                        N 52-Ա որոշում</t>
  </si>
  <si>
    <t>19.10.2023թ․                                  N 1800-Ն որոշում</t>
  </si>
  <si>
    <t>09.11.2023թ․  N 2/2023</t>
  </si>
  <si>
    <t>12.10.2013թ․                              N 1375-Ն որոշում</t>
  </si>
  <si>
    <t>30.12.2016թ․</t>
  </si>
  <si>
    <t>10.09.2015թ․                                    N 1065-Ն որոշում</t>
  </si>
  <si>
    <t xml:space="preserve">29.09.2015թ N 6/2015 </t>
  </si>
  <si>
    <t>26.06.2009թ․                 N 717-Ա որոշում</t>
  </si>
  <si>
    <t>01.11.2012թ․                             N 1377-Ն որոշում</t>
  </si>
  <si>
    <t>ՀՀ և ԵՆԲ միջև 29.12.2017թ. կնքվել է  &lt;&lt;Երևանի կոշտ թափոններ-փուլ 1&gt;&gt; ֆինանսական համաձայնագիր</t>
  </si>
  <si>
    <t>26.06.2009թ.                         N 717-Ա որոեշում</t>
  </si>
  <si>
    <t>01.11.2012թ.                                   N 1377-Ն որոշում</t>
  </si>
  <si>
    <t>Լեռնային Ղարաբաղի կառավարություն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</si>
</sst>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\ _₽_-;\-* #,##0.00\ _₽_-;_-* &quot;-&quot;??\ _₽_-;_-@_-"/>
    <numFmt numFmtId="165" formatCode="_(* #,##0_);_(* \(#,##0\);_(* &quot;-&quot;??_);_(@_)"/>
    <numFmt numFmtId="166" formatCode="0.0%"/>
    <numFmt numFmtId="167" formatCode="0.000%"/>
    <numFmt numFmtId="168" formatCode="General_)"/>
    <numFmt numFmtId="169" formatCode="_(* #,##0.000_);_(* \(#,##0.000\);_(* &quot;-&quot;??_);_(@_)"/>
    <numFmt numFmtId="170" formatCode="0.000"/>
    <numFmt numFmtId="171" formatCode="_(* #,##0.0_);_(* \(#,##0.0\);_(* &quot;-&quot;??_);_(@_)"/>
    <numFmt numFmtId="172" formatCode="0.0000%"/>
    <numFmt numFmtId="173" formatCode="0.0000"/>
  </numFmts>
  <fonts count="8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GHEA Grapalat"/>
      <family val="3"/>
    </font>
    <font>
      <b/>
      <sz val="10"/>
      <name val="GHEA Grapalat"/>
      <family val="3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0"/>
      <name val="Arial Armenian"/>
      <family val="2"/>
    </font>
    <font>
      <sz val="10"/>
      <name val="Arial"/>
      <family val="2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Times New Roman"/>
      <family val="1"/>
    </font>
    <font>
      <sz val="10"/>
      <name val="Times Armenian"/>
      <family val="1"/>
    </font>
    <font>
      <sz val="10"/>
      <name val="Arial LatArm"/>
      <family val="2"/>
    </font>
    <font>
      <sz val="10"/>
      <name val="Arial Cyr"/>
      <charset val="204"/>
    </font>
    <font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0"/>
      <name val="Arial"/>
      <family val="2"/>
    </font>
    <font>
      <sz val="12"/>
      <name val="GHEA Grapalat"/>
      <family val="3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Arial Armenian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0"/>
      <color rgb="FFFF0000"/>
      <name val="GHEA Grapalat"/>
      <family val="3"/>
    </font>
    <font>
      <sz val="10"/>
      <name val="Arial"/>
      <family val="2"/>
      <charset val="204"/>
    </font>
    <font>
      <sz val="10"/>
      <color indexed="8"/>
      <name val="Arial Armenian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charset val="204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  <charset val="204"/>
    </font>
    <font>
      <b/>
      <sz val="10"/>
      <color rgb="FFFF0000"/>
      <name val="GHEA Grapalat"/>
      <family val="3"/>
    </font>
    <font>
      <b/>
      <sz val="14"/>
      <color rgb="FFFF0000"/>
      <name val="GHEA Grapalat"/>
      <family val="3"/>
    </font>
    <font>
      <sz val="10"/>
      <color rgb="FFFF0000"/>
      <name val="Arial Armenian"/>
      <family val="2"/>
    </font>
    <font>
      <sz val="10"/>
      <color rgb="FFFF0000"/>
      <name val="Arial"/>
      <family val="2"/>
    </font>
    <font>
      <b/>
      <sz val="16"/>
      <color rgb="FFFF0000"/>
      <name val="GHEA Grapalat"/>
      <family val="3"/>
    </font>
    <font>
      <sz val="16"/>
      <color rgb="FFFF0000"/>
      <name val="GHEA Grapalat"/>
      <family val="3"/>
    </font>
    <font>
      <sz val="16"/>
      <name val="GHEA Grapalat"/>
      <family val="3"/>
    </font>
    <font>
      <b/>
      <sz val="16"/>
      <name val="GHEA Grapalat"/>
      <family val="3"/>
    </font>
    <font>
      <b/>
      <sz val="14"/>
      <name val="GHEA Grapalat"/>
      <family val="3"/>
    </font>
  </fonts>
  <fills count="5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9FF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0.79998168889431442"/>
        <bgColor indexed="64"/>
      </patternFill>
    </fill>
  </fills>
  <borders count="7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71">
    <xf numFmtId="0" fontId="0" fillId="0" borderId="0"/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6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6" borderId="0" applyNumberFormat="0" applyBorder="0" applyAlignment="0" applyProtection="0"/>
    <xf numFmtId="0" fontId="34" fillId="7" borderId="0" applyNumberFormat="0" applyBorder="0" applyAlignment="0" applyProtection="0"/>
    <xf numFmtId="0" fontId="34" fillId="19" borderId="0" applyNumberFormat="0" applyBorder="0" applyAlignment="0" applyProtection="0"/>
    <xf numFmtId="0" fontId="34" fillId="8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35" fillId="26" borderId="0" applyNumberFormat="0" applyBorder="0" applyAlignment="0" applyProtection="0"/>
    <xf numFmtId="0" fontId="36" fillId="27" borderId="28" applyNumberFormat="0" applyAlignment="0" applyProtection="0"/>
    <xf numFmtId="0" fontId="37" fillId="28" borderId="29" applyNumberFormat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29" borderId="0" applyNumberFormat="0" applyBorder="0" applyAlignment="0" applyProtection="0"/>
    <xf numFmtId="0" fontId="40" fillId="0" borderId="30" applyNumberFormat="0" applyFill="0" applyAlignment="0" applyProtection="0"/>
    <xf numFmtId="0" fontId="41" fillId="0" borderId="31" applyNumberFormat="0" applyFill="0" applyAlignment="0" applyProtection="0"/>
    <xf numFmtId="0" fontId="42" fillId="0" borderId="32" applyNumberFormat="0" applyFill="0" applyAlignment="0" applyProtection="0"/>
    <xf numFmtId="0" fontId="42" fillId="0" borderId="0" applyNumberFormat="0" applyFill="0" applyBorder="0" applyAlignment="0" applyProtection="0"/>
    <xf numFmtId="0" fontId="43" fillId="30" borderId="28" applyNumberFormat="0" applyAlignment="0" applyProtection="0"/>
    <xf numFmtId="38" fontId="16" fillId="0" borderId="0"/>
    <xf numFmtId="38" fontId="17" fillId="0" borderId="0"/>
    <xf numFmtId="38" fontId="18" fillId="0" borderId="0"/>
    <xf numFmtId="38" fontId="19" fillId="0" borderId="0"/>
    <xf numFmtId="0" fontId="20" fillId="0" borderId="0"/>
    <xf numFmtId="0" fontId="20" fillId="0" borderId="0"/>
    <xf numFmtId="0" fontId="21" fillId="0" borderId="0"/>
    <xf numFmtId="0" fontId="44" fillId="0" borderId="33" applyNumberFormat="0" applyFill="0" applyAlignment="0" applyProtection="0"/>
    <xf numFmtId="0" fontId="45" fillId="31" borderId="0" applyNumberFormat="0" applyBorder="0" applyAlignment="0" applyProtection="0"/>
    <xf numFmtId="0" fontId="46" fillId="0" borderId="0"/>
    <xf numFmtId="0" fontId="14" fillId="0" borderId="0"/>
    <xf numFmtId="0" fontId="15" fillId="0" borderId="0"/>
    <xf numFmtId="0" fontId="22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4" fillId="0" borderId="0"/>
    <xf numFmtId="0" fontId="14" fillId="0" borderId="0"/>
    <xf numFmtId="0" fontId="24" fillId="0" borderId="0"/>
    <xf numFmtId="0" fontId="47" fillId="0" borderId="0"/>
    <xf numFmtId="0" fontId="10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24" fillId="0" borderId="0"/>
    <xf numFmtId="0" fontId="15" fillId="0" borderId="0"/>
    <xf numFmtId="0" fontId="15" fillId="0" borderId="0"/>
    <xf numFmtId="0" fontId="13" fillId="32" borderId="34" applyNumberFormat="0" applyFont="0" applyAlignment="0" applyProtection="0"/>
    <xf numFmtId="0" fontId="48" fillId="27" borderId="35" applyNumberFormat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9" fillId="0" borderId="36" applyNumberFormat="0" applyFill="0" applyAlignment="0" applyProtection="0"/>
    <xf numFmtId="0" fontId="50" fillId="0" borderId="0" applyNumberFormat="0" applyFill="0" applyBorder="0" applyAlignment="0" applyProtection="0"/>
    <xf numFmtId="168" fontId="25" fillId="0" borderId="1">
      <protection locked="0"/>
    </xf>
    <xf numFmtId="168" fontId="26" fillId="9" borderId="1"/>
    <xf numFmtId="0" fontId="10" fillId="0" borderId="0"/>
    <xf numFmtId="0" fontId="13" fillId="0" borderId="0"/>
    <xf numFmtId="43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6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6" borderId="0" applyNumberFormat="0" applyBorder="0" applyAlignment="0" applyProtection="0"/>
    <xf numFmtId="0" fontId="13" fillId="5" borderId="0" applyNumberFormat="0" applyBorder="0" applyAlignment="0" applyProtection="0"/>
    <xf numFmtId="0" fontId="13" fillId="36" borderId="0" applyNumberFormat="0" applyBorder="0" applyAlignment="0" applyProtection="0"/>
    <xf numFmtId="0" fontId="13" fillId="38" borderId="0" applyNumberFormat="0" applyBorder="0" applyAlignment="0" applyProtection="0"/>
    <xf numFmtId="0" fontId="56" fillId="39" borderId="0" applyNumberFormat="0" applyBorder="0" applyAlignment="0" applyProtection="0"/>
    <xf numFmtId="0" fontId="56" fillId="37" borderId="0" applyNumberFormat="0" applyBorder="0" applyAlignment="0" applyProtection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40" borderId="0" applyNumberFormat="0" applyBorder="0" applyAlignment="0" applyProtection="0"/>
    <xf numFmtId="0" fontId="56" fillId="8" borderId="0" applyNumberFormat="0" applyBorder="0" applyAlignment="0" applyProtection="0"/>
    <xf numFmtId="0" fontId="56" fillId="41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 applyNumberFormat="0" applyBorder="0" applyAlignment="0" applyProtection="0"/>
    <xf numFmtId="0" fontId="56" fillId="7" borderId="0" applyNumberFormat="0" applyBorder="0" applyAlignment="0" applyProtection="0"/>
    <xf numFmtId="0" fontId="56" fillId="40" borderId="0" applyNumberFormat="0" applyBorder="0" applyAlignment="0" applyProtection="0"/>
    <xf numFmtId="0" fontId="56" fillId="44" borderId="0" applyNumberFormat="0" applyBorder="0" applyAlignment="0" applyProtection="0"/>
    <xf numFmtId="0" fontId="57" fillId="3" borderId="0" applyNumberFormat="0" applyBorder="0" applyAlignment="0" applyProtection="0"/>
    <xf numFmtId="0" fontId="58" fillId="45" borderId="37" applyNumberFormat="0" applyAlignment="0" applyProtection="0"/>
    <xf numFmtId="0" fontId="59" fillId="46" borderId="38" applyNumberFormat="0" applyAlignment="0" applyProtection="0"/>
    <xf numFmtId="43" fontId="54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1" fillId="4" borderId="0" applyNumberFormat="0" applyBorder="0" applyAlignment="0" applyProtection="0"/>
    <xf numFmtId="0" fontId="62" fillId="0" borderId="39" applyNumberFormat="0" applyFill="0" applyAlignment="0" applyProtection="0"/>
    <xf numFmtId="0" fontId="63" fillId="0" borderId="40" applyNumberFormat="0" applyFill="0" applyAlignment="0" applyProtection="0"/>
    <xf numFmtId="0" fontId="64" fillId="0" borderId="41" applyNumberFormat="0" applyFill="0" applyAlignment="0" applyProtection="0"/>
    <xf numFmtId="0" fontId="64" fillId="0" borderId="0" applyNumberFormat="0" applyFill="0" applyBorder="0" applyAlignment="0" applyProtection="0"/>
    <xf numFmtId="0" fontId="65" fillId="35" borderId="37" applyNumberFormat="0" applyAlignment="0" applyProtection="0"/>
    <xf numFmtId="0" fontId="66" fillId="0" borderId="42" applyNumberFormat="0" applyFill="0" applyAlignment="0" applyProtection="0"/>
    <xf numFmtId="0" fontId="67" fillId="47" borderId="0" applyNumberFormat="0" applyBorder="0" applyAlignment="0" applyProtection="0"/>
    <xf numFmtId="0" fontId="68" fillId="0" borderId="0"/>
    <xf numFmtId="0" fontId="55" fillId="0" borderId="0"/>
    <xf numFmtId="0" fontId="13" fillId="48" borderId="43" applyNumberFormat="0" applyFont="0" applyAlignment="0" applyProtection="0"/>
    <xf numFmtId="0" fontId="69" fillId="45" borderId="44" applyNumberFormat="0" applyAlignment="0" applyProtection="0"/>
    <xf numFmtId="0" fontId="70" fillId="0" borderId="45" applyNumberFormat="0" applyFill="0" applyAlignment="0" applyProtection="0"/>
    <xf numFmtId="0" fontId="71" fillId="0" borderId="0" applyNumberFormat="0" applyFill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34" borderId="0" applyNumberFormat="0" applyBorder="0" applyAlignment="0" applyProtection="0"/>
    <xf numFmtId="0" fontId="13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6" borderId="0" applyNumberFormat="0" applyBorder="0" applyAlignment="0" applyProtection="0"/>
    <xf numFmtId="0" fontId="13" fillId="5" borderId="0" applyNumberFormat="0" applyBorder="0" applyAlignment="0" applyProtection="0"/>
    <xf numFmtId="0" fontId="13" fillId="36" borderId="0" applyNumberFormat="0" applyBorder="0" applyAlignment="0" applyProtection="0"/>
    <xf numFmtId="0" fontId="13" fillId="38" borderId="0" applyNumberFormat="0" applyBorder="0" applyAlignment="0" applyProtection="0"/>
    <xf numFmtId="0" fontId="56" fillId="39" borderId="0" applyNumberFormat="0" applyBorder="0" applyAlignment="0" applyProtection="0"/>
    <xf numFmtId="0" fontId="56" fillId="37" borderId="0" applyNumberFormat="0" applyBorder="0" applyAlignment="0" applyProtection="0"/>
    <xf numFmtId="0" fontId="56" fillId="6" borderId="0" applyNumberFormat="0" applyBorder="0" applyAlignment="0" applyProtection="0"/>
    <xf numFmtId="0" fontId="56" fillId="7" borderId="0" applyNumberFormat="0" applyBorder="0" applyAlignment="0" applyProtection="0"/>
    <xf numFmtId="0" fontId="56" fillId="40" borderId="0" applyNumberFormat="0" applyBorder="0" applyAlignment="0" applyProtection="0"/>
    <xf numFmtId="0" fontId="56" fillId="8" borderId="0" applyNumberFormat="0" applyBorder="0" applyAlignment="0" applyProtection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3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1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14" fillId="0" borderId="0"/>
    <xf numFmtId="0" fontId="15" fillId="0" borderId="0"/>
    <xf numFmtId="0" fontId="1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6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164" fontId="7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" fillId="0" borderId="0"/>
    <xf numFmtId="164" fontId="72" fillId="0" borderId="0" applyFont="0" applyFill="0" applyBorder="0" applyAlignment="0" applyProtection="0"/>
    <xf numFmtId="0" fontId="15" fillId="0" borderId="0"/>
    <xf numFmtId="164" fontId="1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15" fillId="0" borderId="0"/>
    <xf numFmtId="0" fontId="7" fillId="0" borderId="0"/>
    <xf numFmtId="164" fontId="7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6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6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6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164" fontId="15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691">
    <xf numFmtId="0" fontId="0" fillId="0" borderId="0" xfId="0"/>
    <xf numFmtId="165" fontId="8" fillId="50" borderId="6" xfId="94" applyNumberFormat="1" applyFont="1" applyFill="1" applyBorder="1" applyAlignment="1" applyProtection="1">
      <alignment horizontal="center" vertical="center" wrapText="1"/>
    </xf>
    <xf numFmtId="43" fontId="8" fillId="33" borderId="0" xfId="101" applyFont="1" applyFill="1" applyProtection="1"/>
    <xf numFmtId="0" fontId="8" fillId="33" borderId="0" xfId="93" applyFont="1" applyFill="1" applyProtection="1"/>
    <xf numFmtId="0" fontId="8" fillId="0" borderId="0" xfId="93" applyFont="1" applyFill="1" applyProtection="1"/>
    <xf numFmtId="43" fontId="9" fillId="33" borderId="0" xfId="101" applyFont="1" applyFill="1" applyAlignment="1" applyProtection="1"/>
    <xf numFmtId="0" fontId="9" fillId="33" borderId="0" xfId="93" applyFont="1" applyFill="1" applyAlignment="1" applyProtection="1"/>
    <xf numFmtId="165" fontId="53" fillId="50" borderId="6" xfId="94" applyNumberFormat="1" applyFont="1" applyFill="1" applyBorder="1" applyAlignment="1" applyProtection="1">
      <alignment horizontal="center" vertical="center" wrapText="1"/>
    </xf>
    <xf numFmtId="0" fontId="8" fillId="50" borderId="49" xfId="93" applyFont="1" applyFill="1" applyBorder="1" applyAlignment="1" applyProtection="1">
      <alignment horizontal="center" vertical="center" wrapText="1"/>
    </xf>
    <xf numFmtId="10" fontId="8" fillId="50" borderId="6" xfId="95" applyNumberFormat="1" applyFont="1" applyFill="1" applyBorder="1" applyAlignment="1" applyProtection="1">
      <alignment horizontal="center" vertical="center" wrapText="1"/>
    </xf>
    <xf numFmtId="43" fontId="8" fillId="33" borderId="0" xfId="101" applyFont="1" applyFill="1" applyBorder="1" applyProtection="1"/>
    <xf numFmtId="165" fontId="8" fillId="50" borderId="6" xfId="96" applyNumberFormat="1" applyFont="1" applyFill="1" applyBorder="1" applyAlignment="1" applyProtection="1">
      <alignment horizontal="center" vertical="center" wrapText="1"/>
    </xf>
    <xf numFmtId="0" fontId="8" fillId="50" borderId="6" xfId="94" applyNumberFormat="1" applyFont="1" applyFill="1" applyBorder="1" applyAlignment="1" applyProtection="1">
      <alignment horizontal="center" vertical="center" wrapText="1"/>
    </xf>
    <xf numFmtId="165" fontId="53" fillId="53" borderId="14" xfId="101" applyNumberFormat="1" applyFont="1" applyFill="1" applyBorder="1" applyAlignment="1" applyProtection="1">
      <alignment horizontal="left" vertical="center" wrapText="1"/>
    </xf>
    <xf numFmtId="165" fontId="53" fillId="53" borderId="6" xfId="101" applyNumberFormat="1" applyFont="1" applyFill="1" applyBorder="1" applyAlignment="1" applyProtection="1">
      <alignment horizontal="left" vertical="center" wrapText="1"/>
    </xf>
    <xf numFmtId="165" fontId="53" fillId="53" borderId="6" xfId="94" applyNumberFormat="1" applyFont="1" applyFill="1" applyBorder="1" applyAlignment="1" applyProtection="1">
      <alignment horizontal="center" vertical="center" wrapText="1"/>
    </xf>
    <xf numFmtId="165" fontId="53" fillId="53" borderId="6" xfId="96" applyNumberFormat="1" applyFont="1" applyFill="1" applyBorder="1" applyAlignment="1" applyProtection="1">
      <alignment horizontal="center" vertical="center" wrapText="1"/>
    </xf>
    <xf numFmtId="165" fontId="53" fillId="53" borderId="3" xfId="96" applyNumberFormat="1" applyFont="1" applyFill="1" applyBorder="1" applyAlignment="1" applyProtection="1">
      <alignment horizontal="center" vertical="center" wrapText="1"/>
    </xf>
    <xf numFmtId="1" fontId="28" fillId="0" borderId="0" xfId="93" applyNumberFormat="1" applyFont="1" applyFill="1" applyAlignment="1" applyProtection="1">
      <alignment horizontal="center"/>
    </xf>
    <xf numFmtId="0" fontId="28" fillId="0" borderId="0" xfId="93" applyFont="1" applyFill="1" applyProtection="1"/>
    <xf numFmtId="170" fontId="28" fillId="0" borderId="0" xfId="93" applyNumberFormat="1" applyFont="1" applyFill="1" applyProtection="1"/>
    <xf numFmtId="0" fontId="53" fillId="0" borderId="0" xfId="93" applyFont="1" applyFill="1" applyProtection="1"/>
    <xf numFmtId="165" fontId="53" fillId="55" borderId="6" xfId="94" applyNumberFormat="1" applyFont="1" applyFill="1" applyBorder="1" applyAlignment="1" applyProtection="1">
      <alignment horizontal="center" vertical="center" wrapText="1"/>
    </xf>
    <xf numFmtId="165" fontId="53" fillId="55" borderId="6" xfId="96" applyNumberFormat="1" applyFont="1" applyFill="1" applyBorder="1" applyAlignment="1" applyProtection="1">
      <alignment horizontal="center" vertical="center" wrapText="1"/>
    </xf>
    <xf numFmtId="165" fontId="53" fillId="55" borderId="10" xfId="96" applyNumberFormat="1" applyFont="1" applyFill="1" applyBorder="1" applyAlignment="1" applyProtection="1">
      <alignment horizontal="center" vertical="center" wrapText="1"/>
    </xf>
    <xf numFmtId="43" fontId="53" fillId="0" borderId="0" xfId="101" applyFont="1" applyFill="1" applyProtection="1"/>
    <xf numFmtId="43" fontId="53" fillId="33" borderId="0" xfId="101" applyFont="1" applyFill="1" applyProtection="1"/>
    <xf numFmtId="0" fontId="53" fillId="33" borderId="0" xfId="93" applyFont="1" applyFill="1" applyProtection="1"/>
    <xf numFmtId="0" fontId="53" fillId="0" borderId="0" xfId="93" applyFont="1" applyFill="1" applyAlignment="1" applyProtection="1">
      <alignment horizontal="centerContinuous"/>
    </xf>
    <xf numFmtId="1" fontId="53" fillId="0" borderId="0" xfId="93" applyNumberFormat="1" applyFont="1" applyFill="1" applyAlignment="1" applyProtection="1">
      <alignment horizontal="center"/>
    </xf>
    <xf numFmtId="0" fontId="53" fillId="0" borderId="0" xfId="93" applyNumberFormat="1" applyFont="1" applyFill="1" applyAlignment="1" applyProtection="1">
      <alignment horizontal="centerContinuous"/>
    </xf>
    <xf numFmtId="0" fontId="53" fillId="33" borderId="0" xfId="93" applyFont="1" applyFill="1" applyAlignment="1" applyProtection="1">
      <alignment horizontal="centerContinuous"/>
    </xf>
    <xf numFmtId="10" fontId="53" fillId="0" borderId="0" xfId="95" applyNumberFormat="1" applyFont="1" applyFill="1" applyAlignment="1" applyProtection="1">
      <alignment horizontal="centerContinuous"/>
    </xf>
    <xf numFmtId="165" fontId="53" fillId="0" borderId="0" xfId="94" applyNumberFormat="1" applyFont="1" applyFill="1" applyAlignment="1" applyProtection="1">
      <alignment horizontal="centerContinuous"/>
    </xf>
    <xf numFmtId="43" fontId="73" fillId="33" borderId="0" xfId="101" applyFont="1" applyFill="1" applyAlignment="1" applyProtection="1"/>
    <xf numFmtId="0" fontId="73" fillId="33" borderId="0" xfId="93" applyFont="1" applyFill="1" applyAlignment="1" applyProtection="1"/>
    <xf numFmtId="0" fontId="73" fillId="0" borderId="0" xfId="93" applyFont="1" applyFill="1" applyAlignment="1" applyProtection="1"/>
    <xf numFmtId="0" fontId="53" fillId="50" borderId="5" xfId="93" applyFont="1" applyFill="1" applyBorder="1" applyAlignment="1" applyProtection="1">
      <alignment vertical="center" wrapText="1"/>
    </xf>
    <xf numFmtId="165" fontId="53" fillId="50" borderId="5" xfId="94" applyNumberFormat="1" applyFont="1" applyFill="1" applyBorder="1" applyAlignment="1" applyProtection="1">
      <alignment vertical="center"/>
    </xf>
    <xf numFmtId="10" fontId="53" fillId="50" borderId="5" xfId="93" applyNumberFormat="1" applyFont="1" applyFill="1" applyBorder="1" applyAlignment="1" applyProtection="1">
      <alignment horizontal="center" vertical="center" wrapText="1"/>
    </xf>
    <xf numFmtId="0" fontId="53" fillId="50" borderId="5" xfId="93" applyFont="1" applyFill="1" applyBorder="1" applyAlignment="1" applyProtection="1">
      <alignment horizontal="center" vertical="center"/>
    </xf>
    <xf numFmtId="43" fontId="53" fillId="50" borderId="5" xfId="101" applyFont="1" applyFill="1" applyBorder="1" applyProtection="1"/>
    <xf numFmtId="0" fontId="53" fillId="50" borderId="6" xfId="93" applyFont="1" applyFill="1" applyBorder="1" applyAlignment="1" applyProtection="1">
      <alignment vertical="center" wrapText="1"/>
    </xf>
    <xf numFmtId="165" fontId="53" fillId="50" borderId="6" xfId="94" applyNumberFormat="1" applyFont="1" applyFill="1" applyBorder="1" applyAlignment="1" applyProtection="1">
      <alignment vertical="center"/>
    </xf>
    <xf numFmtId="0" fontId="53" fillId="50" borderId="49" xfId="93" applyFont="1" applyFill="1" applyBorder="1" applyAlignment="1" applyProtection="1">
      <alignment horizontal="center" vertical="center" wrapText="1"/>
    </xf>
    <xf numFmtId="43" fontId="53" fillId="50" borderId="6" xfId="101" applyFont="1" applyFill="1" applyBorder="1" applyProtection="1"/>
    <xf numFmtId="10" fontId="53" fillId="50" borderId="6" xfId="95" applyNumberFormat="1" applyFont="1" applyFill="1" applyBorder="1" applyAlignment="1" applyProtection="1">
      <alignment horizontal="center" vertical="center" wrapText="1"/>
    </xf>
    <xf numFmtId="43" fontId="53" fillId="33" borderId="0" xfId="101" applyFont="1" applyFill="1" applyBorder="1" applyProtection="1"/>
    <xf numFmtId="0" fontId="53" fillId="50" borderId="0" xfId="93" applyFont="1" applyFill="1" applyProtection="1"/>
    <xf numFmtId="165" fontId="53" fillId="50" borderId="6" xfId="94" applyNumberFormat="1" applyFont="1" applyFill="1" applyBorder="1" applyAlignment="1" applyProtection="1">
      <alignment vertical="center" wrapText="1"/>
    </xf>
    <xf numFmtId="165" fontId="53" fillId="50" borderId="5" xfId="94" applyNumberFormat="1" applyFont="1" applyFill="1" applyBorder="1" applyAlignment="1" applyProtection="1">
      <alignment vertical="center" wrapText="1"/>
    </xf>
    <xf numFmtId="166" fontId="53" fillId="50" borderId="6" xfId="95" applyNumberFormat="1" applyFont="1" applyFill="1" applyBorder="1" applyAlignment="1" applyProtection="1">
      <alignment horizontal="center" vertical="center" wrapText="1"/>
    </xf>
    <xf numFmtId="43" fontId="53" fillId="50" borderId="6" xfId="94" applyFont="1" applyFill="1" applyBorder="1" applyAlignment="1" applyProtection="1">
      <alignment horizontal="center" vertical="center" wrapText="1"/>
    </xf>
    <xf numFmtId="165" fontId="53" fillId="50" borderId="6" xfId="96" applyNumberFormat="1" applyFont="1" applyFill="1" applyBorder="1" applyAlignment="1" applyProtection="1">
      <alignment horizontal="center" vertical="center" wrapText="1"/>
    </xf>
    <xf numFmtId="0" fontId="53" fillId="50" borderId="6" xfId="93" applyFont="1" applyFill="1" applyBorder="1" applyProtection="1"/>
    <xf numFmtId="165" fontId="53" fillId="50" borderId="6" xfId="97" applyNumberFormat="1" applyFont="1" applyFill="1" applyBorder="1" applyAlignment="1" applyProtection="1">
      <alignment horizontal="center" vertical="center" wrapText="1"/>
    </xf>
    <xf numFmtId="0" fontId="53" fillId="50" borderId="6" xfId="94" applyNumberFormat="1" applyFont="1" applyFill="1" applyBorder="1" applyAlignment="1" applyProtection="1">
      <alignment horizontal="center" vertical="center" wrapText="1"/>
    </xf>
    <xf numFmtId="0" fontId="53" fillId="50" borderId="11" xfId="94" applyNumberFormat="1" applyFont="1" applyFill="1" applyBorder="1" applyAlignment="1" applyProtection="1">
      <alignment horizontal="center" vertical="center" wrapText="1"/>
    </xf>
    <xf numFmtId="167" fontId="53" fillId="50" borderId="11" xfId="95" applyNumberFormat="1" applyFont="1" applyFill="1" applyBorder="1" applyAlignment="1" applyProtection="1">
      <alignment horizontal="center" vertical="center" wrapText="1"/>
    </xf>
    <xf numFmtId="43" fontId="53" fillId="50" borderId="6" xfId="93" applyNumberFormat="1" applyFont="1" applyFill="1" applyBorder="1" applyAlignment="1" applyProtection="1">
      <alignment horizontal="center" vertical="center" wrapText="1"/>
    </xf>
    <xf numFmtId="0" fontId="53" fillId="50" borderId="11" xfId="93" applyFont="1" applyFill="1" applyBorder="1" applyAlignment="1" applyProtection="1">
      <alignment horizontal="center" vertical="center"/>
    </xf>
    <xf numFmtId="0" fontId="53" fillId="50" borderId="14" xfId="93" applyFont="1" applyFill="1" applyBorder="1" applyAlignment="1" applyProtection="1">
      <alignment horizontal="center" vertical="center"/>
    </xf>
    <xf numFmtId="43" fontId="53" fillId="50" borderId="14" xfId="93" applyNumberFormat="1" applyFont="1" applyFill="1" applyBorder="1" applyAlignment="1" applyProtection="1">
      <alignment horizontal="center" vertical="center" wrapText="1"/>
    </xf>
    <xf numFmtId="165" fontId="53" fillId="50" borderId="14" xfId="94" applyNumberFormat="1" applyFont="1" applyFill="1" applyBorder="1" applyAlignment="1" applyProtection="1">
      <alignment horizontal="center" vertical="center" wrapText="1"/>
    </xf>
    <xf numFmtId="43" fontId="53" fillId="50" borderId="10" xfId="101" applyFont="1" applyFill="1" applyBorder="1" applyProtection="1"/>
    <xf numFmtId="2" fontId="73" fillId="50" borderId="7" xfId="93" applyNumberFormat="1" applyFont="1" applyFill="1" applyBorder="1" applyAlignment="1" applyProtection="1">
      <alignment vertical="center"/>
    </xf>
    <xf numFmtId="165" fontId="73" fillId="50" borderId="13" xfId="94" applyNumberFormat="1" applyFont="1" applyFill="1" applyBorder="1" applyAlignment="1" applyProtection="1">
      <alignment vertical="center"/>
    </xf>
    <xf numFmtId="165" fontId="73" fillId="50" borderId="51" xfId="94" applyNumberFormat="1" applyFont="1" applyFill="1" applyBorder="1" applyAlignment="1" applyProtection="1">
      <alignment vertical="center"/>
    </xf>
    <xf numFmtId="0" fontId="53" fillId="33" borderId="0" xfId="93" applyFont="1" applyFill="1" applyBorder="1" applyProtection="1"/>
    <xf numFmtId="2" fontId="73" fillId="50" borderId="6" xfId="93" applyNumberFormat="1" applyFont="1" applyFill="1" applyBorder="1" applyAlignment="1" applyProtection="1">
      <alignment vertical="center"/>
    </xf>
    <xf numFmtId="165" fontId="73" fillId="50" borderId="6" xfId="94" applyNumberFormat="1" applyFont="1" applyFill="1" applyBorder="1" applyAlignment="1" applyProtection="1">
      <alignment vertical="center"/>
    </xf>
    <xf numFmtId="165" fontId="73" fillId="50" borderId="49" xfId="94" applyNumberFormat="1" applyFont="1" applyFill="1" applyBorder="1" applyAlignment="1" applyProtection="1">
      <alignment vertical="center"/>
    </xf>
    <xf numFmtId="2" fontId="73" fillId="50" borderId="11" xfId="93" applyNumberFormat="1" applyFont="1" applyFill="1" applyBorder="1" applyAlignment="1" applyProtection="1">
      <alignment vertical="center"/>
    </xf>
    <xf numFmtId="165" fontId="73" fillId="50" borderId="14" xfId="94" applyNumberFormat="1" applyFont="1" applyFill="1" applyBorder="1" applyAlignment="1" applyProtection="1">
      <alignment vertical="center"/>
    </xf>
    <xf numFmtId="165" fontId="73" fillId="50" borderId="57" xfId="94" applyNumberFormat="1" applyFont="1" applyFill="1" applyBorder="1" applyAlignment="1" applyProtection="1">
      <alignment vertical="center"/>
    </xf>
    <xf numFmtId="43" fontId="53" fillId="50" borderId="11" xfId="101" applyFont="1" applyFill="1" applyBorder="1" applyProtection="1"/>
    <xf numFmtId="2" fontId="73" fillId="50" borderId="10" xfId="93" applyNumberFormat="1" applyFont="1" applyFill="1" applyBorder="1" applyAlignment="1" applyProtection="1">
      <alignment vertical="center"/>
    </xf>
    <xf numFmtId="165" fontId="73" fillId="50" borderId="10" xfId="94" applyNumberFormat="1" applyFont="1" applyFill="1" applyBorder="1" applyAlignment="1" applyProtection="1">
      <alignment vertical="center"/>
    </xf>
    <xf numFmtId="165" fontId="73" fillId="50" borderId="46" xfId="94" applyNumberFormat="1" applyFont="1" applyFill="1" applyBorder="1" applyAlignment="1" applyProtection="1">
      <alignment vertical="center"/>
    </xf>
    <xf numFmtId="2" fontId="73" fillId="0" borderId="7" xfId="93" applyNumberFormat="1" applyFont="1" applyFill="1" applyBorder="1" applyAlignment="1" applyProtection="1">
      <alignment vertical="center"/>
    </xf>
    <xf numFmtId="165" fontId="73" fillId="0" borderId="13" xfId="94" applyNumberFormat="1" applyFont="1" applyFill="1" applyBorder="1" applyAlignment="1" applyProtection="1">
      <alignment vertical="center"/>
    </xf>
    <xf numFmtId="165" fontId="73" fillId="0" borderId="7" xfId="94" applyNumberFormat="1" applyFont="1" applyFill="1" applyBorder="1" applyAlignment="1" applyProtection="1">
      <alignment vertical="center"/>
    </xf>
    <xf numFmtId="165" fontId="73" fillId="33" borderId="13" xfId="94" applyNumberFormat="1" applyFont="1" applyFill="1" applyBorder="1" applyAlignment="1" applyProtection="1">
      <alignment vertical="center"/>
    </xf>
    <xf numFmtId="165" fontId="73" fillId="0" borderId="51" xfId="94" applyNumberFormat="1" applyFont="1" applyFill="1" applyBorder="1" applyAlignment="1" applyProtection="1">
      <alignment vertical="center"/>
    </xf>
    <xf numFmtId="43" fontId="53" fillId="0" borderId="5" xfId="101" applyFont="1" applyFill="1" applyBorder="1" applyProtection="1"/>
    <xf numFmtId="0" fontId="53" fillId="0" borderId="0" xfId="93" applyFont="1" applyFill="1" applyBorder="1" applyProtection="1"/>
    <xf numFmtId="2" fontId="73" fillId="0" borderId="6" xfId="93" applyNumberFormat="1" applyFont="1" applyFill="1" applyBorder="1" applyAlignment="1" applyProtection="1">
      <alignment vertical="center"/>
    </xf>
    <xf numFmtId="165" fontId="73" fillId="0" borderId="6" xfId="94" applyNumberFormat="1" applyFont="1" applyFill="1" applyBorder="1" applyAlignment="1" applyProtection="1">
      <alignment vertical="center"/>
    </xf>
    <xf numFmtId="165" fontId="73" fillId="33" borderId="6" xfId="94" applyNumberFormat="1" applyFont="1" applyFill="1" applyBorder="1" applyAlignment="1" applyProtection="1">
      <alignment vertical="center"/>
    </xf>
    <xf numFmtId="165" fontId="73" fillId="0" borderId="49" xfId="94" applyNumberFormat="1" applyFont="1" applyFill="1" applyBorder="1" applyAlignment="1" applyProtection="1">
      <alignment vertical="center"/>
    </xf>
    <xf numFmtId="43" fontId="53" fillId="0" borderId="6" xfId="101" applyFont="1" applyFill="1" applyBorder="1" applyProtection="1"/>
    <xf numFmtId="2" fontId="73" fillId="0" borderId="10" xfId="93" applyNumberFormat="1" applyFont="1" applyFill="1" applyBorder="1" applyAlignment="1" applyProtection="1">
      <alignment vertical="center"/>
    </xf>
    <xf numFmtId="165" fontId="73" fillId="0" borderId="10" xfId="94" applyNumberFormat="1" applyFont="1" applyFill="1" applyBorder="1" applyAlignment="1" applyProtection="1">
      <alignment vertical="center"/>
    </xf>
    <xf numFmtId="165" fontId="73" fillId="33" borderId="10" xfId="94" applyNumberFormat="1" applyFont="1" applyFill="1" applyBorder="1" applyAlignment="1" applyProtection="1">
      <alignment vertical="center"/>
    </xf>
    <xf numFmtId="165" fontId="73" fillId="0" borderId="46" xfId="94" applyNumberFormat="1" applyFont="1" applyFill="1" applyBorder="1" applyAlignment="1" applyProtection="1">
      <alignment vertical="center"/>
    </xf>
    <xf numFmtId="43" fontId="53" fillId="0" borderId="10" xfId="101" applyFont="1" applyFill="1" applyBorder="1" applyProtection="1"/>
    <xf numFmtId="43" fontId="75" fillId="33" borderId="0" xfId="101" applyFont="1" applyFill="1" applyProtection="1"/>
    <xf numFmtId="0" fontId="75" fillId="33" borderId="0" xfId="93" applyFont="1" applyFill="1" applyProtection="1"/>
    <xf numFmtId="165" fontId="73" fillId="33" borderId="7" xfId="94" applyNumberFormat="1" applyFont="1" applyFill="1" applyBorder="1" applyAlignment="1" applyProtection="1">
      <alignment vertical="center"/>
    </xf>
    <xf numFmtId="0" fontId="53" fillId="55" borderId="22" xfId="93" applyFont="1" applyFill="1" applyBorder="1" applyAlignment="1" applyProtection="1">
      <alignment horizontal="center" vertical="center" wrapText="1"/>
    </xf>
    <xf numFmtId="1" fontId="53" fillId="55" borderId="6" xfId="93" applyNumberFormat="1" applyFont="1" applyFill="1" applyBorder="1" applyAlignment="1" applyProtection="1">
      <alignment horizontal="center" vertical="center" wrapText="1"/>
    </xf>
    <xf numFmtId="0" fontId="53" fillId="55" borderId="6" xfId="93" applyFont="1" applyFill="1" applyBorder="1" applyAlignment="1" applyProtection="1">
      <alignment horizontal="center" vertical="center" wrapText="1"/>
    </xf>
    <xf numFmtId="0" fontId="53" fillId="55" borderId="6" xfId="93" applyFont="1" applyFill="1" applyBorder="1" applyAlignment="1" applyProtection="1">
      <alignment horizontal="center" vertical="center"/>
    </xf>
    <xf numFmtId="10" fontId="53" fillId="55" borderId="6" xfId="95" applyNumberFormat="1" applyFont="1" applyFill="1" applyBorder="1" applyAlignment="1" applyProtection="1">
      <alignment horizontal="center" vertical="center" wrapText="1"/>
    </xf>
    <xf numFmtId="165" fontId="53" fillId="55" borderId="6" xfId="93" applyNumberFormat="1" applyFont="1" applyFill="1" applyBorder="1" applyAlignment="1" applyProtection="1">
      <alignment horizontal="center" vertical="center" wrapText="1"/>
    </xf>
    <xf numFmtId="165" fontId="53" fillId="55" borderId="5" xfId="94" applyNumberFormat="1" applyFont="1" applyFill="1" applyBorder="1" applyAlignment="1" applyProtection="1">
      <alignment horizontal="center" vertical="center" wrapText="1"/>
    </xf>
    <xf numFmtId="0" fontId="53" fillId="55" borderId="49" xfId="93" applyFont="1" applyFill="1" applyBorder="1" applyAlignment="1" applyProtection="1">
      <alignment horizontal="center" vertical="center" wrapText="1"/>
    </xf>
    <xf numFmtId="0" fontId="53" fillId="55" borderId="5" xfId="93" applyFont="1" applyFill="1" applyBorder="1" applyAlignment="1" applyProtection="1">
      <alignment horizontal="left" vertical="center" wrapText="1"/>
    </xf>
    <xf numFmtId="43" fontId="53" fillId="50" borderId="11" xfId="101" applyFont="1" applyFill="1" applyBorder="1" applyAlignment="1" applyProtection="1">
      <alignment horizontal="center"/>
    </xf>
    <xf numFmtId="2" fontId="53" fillId="55" borderId="6" xfId="93" applyNumberFormat="1" applyFont="1" applyFill="1" applyBorder="1" applyAlignment="1" applyProtection="1">
      <alignment horizontal="center" vertical="center" wrapText="1"/>
    </xf>
    <xf numFmtId="9" fontId="53" fillId="55" borderId="6" xfId="93" applyNumberFormat="1" applyFont="1" applyFill="1" applyBorder="1" applyAlignment="1" applyProtection="1">
      <alignment horizontal="center" vertical="center" wrapText="1"/>
    </xf>
    <xf numFmtId="165" fontId="53" fillId="55" borderId="6" xfId="101" applyNumberFormat="1" applyFont="1" applyFill="1" applyBorder="1" applyAlignment="1" applyProtection="1">
      <alignment horizontal="left" vertical="center" wrapText="1"/>
    </xf>
    <xf numFmtId="166" fontId="53" fillId="55" borderId="6" xfId="100" applyNumberFormat="1" applyFont="1" applyFill="1" applyBorder="1" applyAlignment="1" applyProtection="1">
      <alignment horizontal="center" vertical="center" wrapText="1"/>
    </xf>
    <xf numFmtId="1" fontId="53" fillId="55" borderId="49" xfId="93" applyNumberFormat="1" applyFont="1" applyFill="1" applyBorder="1" applyAlignment="1" applyProtection="1">
      <alignment horizontal="center" vertical="center" wrapText="1"/>
    </xf>
    <xf numFmtId="0" fontId="75" fillId="0" borderId="0" xfId="93" applyFont="1" applyFill="1" applyProtection="1"/>
    <xf numFmtId="9" fontId="53" fillId="55" borderId="5" xfId="93" applyNumberFormat="1" applyFont="1" applyFill="1" applyBorder="1" applyAlignment="1" applyProtection="1">
      <alignment horizontal="center" vertical="center" wrapText="1"/>
    </xf>
    <xf numFmtId="166" fontId="53" fillId="55" borderId="6" xfId="95" applyNumberFormat="1" applyFont="1" applyFill="1" applyBorder="1" applyAlignment="1" applyProtection="1">
      <alignment horizontal="center" vertical="center" wrapText="1"/>
    </xf>
    <xf numFmtId="43" fontId="53" fillId="55" borderId="6" xfId="101" applyFont="1" applyFill="1" applyBorder="1" applyProtection="1"/>
    <xf numFmtId="9" fontId="53" fillId="55" borderId="11" xfId="93" applyNumberFormat="1" applyFont="1" applyFill="1" applyBorder="1" applyAlignment="1" applyProtection="1">
      <alignment horizontal="center" vertical="center" wrapText="1"/>
    </xf>
    <xf numFmtId="0" fontId="53" fillId="55" borderId="11" xfId="93" applyFont="1" applyFill="1" applyBorder="1" applyAlignment="1" applyProtection="1">
      <alignment horizontal="center" vertical="center"/>
    </xf>
    <xf numFmtId="165" fontId="53" fillId="55" borderId="11" xfId="101" applyNumberFormat="1" applyFont="1" applyFill="1" applyBorder="1" applyAlignment="1" applyProtection="1">
      <alignment horizontal="left" vertical="center" wrapText="1"/>
    </xf>
    <xf numFmtId="166" fontId="53" fillId="55" borderId="11" xfId="95" applyNumberFormat="1" applyFont="1" applyFill="1" applyBorder="1" applyAlignment="1" applyProtection="1">
      <alignment horizontal="center" vertical="center" wrapText="1"/>
    </xf>
    <xf numFmtId="0" fontId="53" fillId="55" borderId="21" xfId="93" applyFont="1" applyFill="1" applyBorder="1" applyAlignment="1" applyProtection="1">
      <alignment horizontal="center" vertical="center" wrapText="1"/>
    </xf>
    <xf numFmtId="1" fontId="53" fillId="55" borderId="11" xfId="93" applyNumberFormat="1" applyFont="1" applyFill="1" applyBorder="1" applyAlignment="1" applyProtection="1">
      <alignment horizontal="center" vertical="center" wrapText="1"/>
    </xf>
    <xf numFmtId="165" fontId="53" fillId="55" borderId="11" xfId="94" applyNumberFormat="1" applyFont="1" applyFill="1" applyBorder="1" applyAlignment="1" applyProtection="1">
      <alignment horizontal="center" vertical="center" wrapText="1"/>
    </xf>
    <xf numFmtId="165" fontId="53" fillId="55" borderId="11" xfId="93" applyNumberFormat="1" applyFont="1" applyFill="1" applyBorder="1" applyAlignment="1" applyProtection="1">
      <alignment horizontal="center" vertical="center" wrapText="1"/>
    </xf>
    <xf numFmtId="0" fontId="53" fillId="0" borderId="7" xfId="93" applyFont="1" applyFill="1" applyBorder="1" applyAlignment="1" applyProtection="1">
      <alignment horizontal="center" vertical="center" wrapText="1"/>
    </xf>
    <xf numFmtId="1" fontId="53" fillId="55" borderId="57" xfId="93" applyNumberFormat="1" applyFont="1" applyFill="1" applyBorder="1" applyAlignment="1" applyProtection="1">
      <alignment horizontal="center" vertical="center" wrapText="1"/>
    </xf>
    <xf numFmtId="43" fontId="53" fillId="55" borderId="5" xfId="101" applyFont="1" applyFill="1" applyBorder="1" applyProtection="1"/>
    <xf numFmtId="166" fontId="53" fillId="55" borderId="14" xfId="95" applyNumberFormat="1" applyFont="1" applyFill="1" applyBorder="1" applyAlignment="1" applyProtection="1">
      <alignment horizontal="center" vertical="center" wrapText="1"/>
    </xf>
    <xf numFmtId="0" fontId="53" fillId="55" borderId="25" xfId="93" applyFont="1" applyFill="1" applyBorder="1" applyAlignment="1" applyProtection="1">
      <alignment horizontal="center" vertical="center" wrapText="1"/>
    </xf>
    <xf numFmtId="0" fontId="53" fillId="55" borderId="60" xfId="93" applyFont="1" applyFill="1" applyBorder="1" applyAlignment="1" applyProtection="1">
      <alignment horizontal="center" vertical="center" wrapText="1"/>
    </xf>
    <xf numFmtId="9" fontId="53" fillId="55" borderId="55" xfId="93" applyNumberFormat="1" applyFont="1" applyFill="1" applyBorder="1" applyAlignment="1" applyProtection="1">
      <alignment horizontal="center" vertical="center" wrapText="1"/>
    </xf>
    <xf numFmtId="2" fontId="53" fillId="55" borderId="10" xfId="93" applyNumberFormat="1" applyFont="1" applyFill="1" applyBorder="1" applyAlignment="1" applyProtection="1">
      <alignment horizontal="center" vertical="center" wrapText="1"/>
    </xf>
    <xf numFmtId="0" fontId="53" fillId="55" borderId="17" xfId="93" applyFont="1" applyFill="1" applyBorder="1" applyAlignment="1" applyProtection="1">
      <alignment horizontal="center" vertical="center" wrapText="1"/>
    </xf>
    <xf numFmtId="165" fontId="53" fillId="55" borderId="10" xfId="94" applyNumberFormat="1" applyFont="1" applyFill="1" applyBorder="1" applyAlignment="1" applyProtection="1">
      <alignment horizontal="center" vertical="center" wrapText="1"/>
    </xf>
    <xf numFmtId="166" fontId="53" fillId="55" borderId="10" xfId="95" applyNumberFormat="1" applyFont="1" applyFill="1" applyBorder="1" applyAlignment="1" applyProtection="1">
      <alignment horizontal="center" vertical="center" wrapText="1"/>
    </xf>
    <xf numFmtId="165" fontId="53" fillId="55" borderId="10" xfId="93" applyNumberFormat="1" applyFont="1" applyFill="1" applyBorder="1" applyAlignment="1" applyProtection="1">
      <alignment horizontal="center" vertical="center" wrapText="1"/>
    </xf>
    <xf numFmtId="165" fontId="53" fillId="55" borderId="17" xfId="94" applyNumberFormat="1" applyFont="1" applyFill="1" applyBorder="1" applyAlignment="1" applyProtection="1">
      <alignment horizontal="center" vertical="center" wrapText="1"/>
    </xf>
    <xf numFmtId="43" fontId="53" fillId="55" borderId="10" xfId="101" applyFont="1" applyFill="1" applyBorder="1" applyProtection="1"/>
    <xf numFmtId="0" fontId="53" fillId="0" borderId="14" xfId="93" applyFont="1" applyFill="1" applyBorder="1" applyAlignment="1" applyProtection="1">
      <alignment horizontal="center" vertical="center"/>
    </xf>
    <xf numFmtId="165" fontId="73" fillId="0" borderId="5" xfId="94" applyNumberFormat="1" applyFont="1" applyFill="1" applyBorder="1" applyAlignment="1" applyProtection="1">
      <alignment vertical="center"/>
    </xf>
    <xf numFmtId="165" fontId="73" fillId="33" borderId="5" xfId="94" applyNumberFormat="1" applyFont="1" applyFill="1" applyBorder="1" applyAlignment="1" applyProtection="1">
      <alignment vertical="center"/>
    </xf>
    <xf numFmtId="0" fontId="53" fillId="53" borderId="20" xfId="93" applyFont="1" applyFill="1" applyBorder="1" applyAlignment="1" applyProtection="1">
      <alignment horizontal="center" vertical="center" wrapText="1"/>
    </xf>
    <xf numFmtId="1" fontId="53" fillId="53" borderId="14" xfId="93" applyNumberFormat="1" applyFont="1" applyFill="1" applyBorder="1" applyAlignment="1" applyProtection="1">
      <alignment horizontal="center" vertical="center" wrapText="1"/>
    </xf>
    <xf numFmtId="0" fontId="53" fillId="53" borderId="11" xfId="93" applyFont="1" applyFill="1" applyBorder="1" applyAlignment="1" applyProtection="1">
      <alignment horizontal="center" vertical="center" wrapText="1"/>
    </xf>
    <xf numFmtId="9" fontId="53" fillId="53" borderId="11" xfId="93" applyNumberFormat="1" applyFont="1" applyFill="1" applyBorder="1" applyAlignment="1" applyProtection="1">
      <alignment horizontal="center" vertical="center" wrapText="1"/>
    </xf>
    <xf numFmtId="2" fontId="53" fillId="53" borderId="11" xfId="93" applyNumberFormat="1" applyFont="1" applyFill="1" applyBorder="1" applyAlignment="1" applyProtection="1">
      <alignment horizontal="center" vertical="center" wrapText="1"/>
    </xf>
    <xf numFmtId="0" fontId="53" fillId="53" borderId="6" xfId="93" applyFont="1" applyFill="1" applyBorder="1" applyAlignment="1" applyProtection="1">
      <alignment horizontal="center" vertical="center" wrapText="1"/>
    </xf>
    <xf numFmtId="10" fontId="53" fillId="53" borderId="14" xfId="95" applyNumberFormat="1" applyFont="1" applyFill="1" applyBorder="1" applyAlignment="1" applyProtection="1">
      <alignment horizontal="center" vertical="center" wrapText="1"/>
    </xf>
    <xf numFmtId="165" fontId="53" fillId="53" borderId="14" xfId="93" applyNumberFormat="1" applyFont="1" applyFill="1" applyBorder="1" applyAlignment="1" applyProtection="1">
      <alignment horizontal="center" vertical="center" wrapText="1"/>
    </xf>
    <xf numFmtId="165" fontId="53" fillId="53" borderId="5" xfId="94" applyNumberFormat="1" applyFont="1" applyFill="1" applyBorder="1" applyAlignment="1" applyProtection="1">
      <alignment horizontal="center" vertical="center" wrapText="1"/>
    </xf>
    <xf numFmtId="1" fontId="53" fillId="53" borderId="59" xfId="93" applyNumberFormat="1" applyFont="1" applyFill="1" applyBorder="1" applyAlignment="1" applyProtection="1">
      <alignment horizontal="center" vertical="center" wrapText="1"/>
    </xf>
    <xf numFmtId="43" fontId="53" fillId="53" borderId="5" xfId="101" applyFont="1" applyFill="1" applyBorder="1" applyProtection="1"/>
    <xf numFmtId="0" fontId="53" fillId="53" borderId="22" xfId="93" applyFont="1" applyFill="1" applyBorder="1" applyAlignment="1" applyProtection="1">
      <alignment horizontal="center" vertical="center" wrapText="1"/>
    </xf>
    <xf numFmtId="1" fontId="53" fillId="53" borderId="11" xfId="93" applyNumberFormat="1" applyFont="1" applyFill="1" applyBorder="1" applyAlignment="1" applyProtection="1">
      <alignment horizontal="center" vertical="center" wrapText="1"/>
    </xf>
    <xf numFmtId="165" fontId="53" fillId="53" borderId="11" xfId="101" applyNumberFormat="1" applyFont="1" applyFill="1" applyBorder="1" applyAlignment="1" applyProtection="1">
      <alignment horizontal="left" vertical="center" wrapText="1"/>
    </xf>
    <xf numFmtId="10" fontId="53" fillId="53" borderId="11" xfId="95" applyNumberFormat="1" applyFont="1" applyFill="1" applyBorder="1" applyAlignment="1" applyProtection="1">
      <alignment horizontal="center" vertical="center" wrapText="1"/>
    </xf>
    <xf numFmtId="165" fontId="53" fillId="53" borderId="11" xfId="93" applyNumberFormat="1" applyFont="1" applyFill="1" applyBorder="1" applyAlignment="1" applyProtection="1">
      <alignment horizontal="center" vertical="center" wrapText="1"/>
    </xf>
    <xf numFmtId="1" fontId="53" fillId="53" borderId="57" xfId="93" applyNumberFormat="1" applyFont="1" applyFill="1" applyBorder="1" applyAlignment="1" applyProtection="1">
      <alignment horizontal="center" vertical="center" wrapText="1"/>
    </xf>
    <xf numFmtId="43" fontId="53" fillId="53" borderId="6" xfId="101" applyFont="1" applyFill="1" applyBorder="1" applyProtection="1"/>
    <xf numFmtId="43" fontId="53" fillId="53" borderId="6" xfId="99" applyFont="1" applyFill="1" applyBorder="1" applyProtection="1"/>
    <xf numFmtId="43" fontId="75" fillId="33" borderId="0" xfId="99" applyFont="1" applyFill="1" applyProtection="1"/>
    <xf numFmtId="43" fontId="53" fillId="55" borderId="6" xfId="99" applyFont="1" applyFill="1" applyBorder="1" applyProtection="1"/>
    <xf numFmtId="166" fontId="53" fillId="55" borderId="11" xfId="100" applyNumberFormat="1" applyFont="1" applyFill="1" applyBorder="1" applyAlignment="1" applyProtection="1">
      <alignment horizontal="center" vertical="center" wrapText="1"/>
    </xf>
    <xf numFmtId="10" fontId="53" fillId="53" borderId="6" xfId="100" applyNumberFormat="1" applyFont="1" applyFill="1" applyBorder="1" applyAlignment="1" applyProtection="1">
      <alignment horizontal="center" vertical="center" wrapText="1"/>
    </xf>
    <xf numFmtId="165" fontId="53" fillId="53" borderId="6" xfId="93" applyNumberFormat="1" applyFont="1" applyFill="1" applyBorder="1" applyAlignment="1" applyProtection="1">
      <alignment horizontal="center" vertical="center" wrapText="1"/>
    </xf>
    <xf numFmtId="0" fontId="53" fillId="53" borderId="49" xfId="93" applyFont="1" applyFill="1" applyBorder="1" applyAlignment="1" applyProtection="1">
      <alignment horizontal="center" vertical="center" wrapText="1"/>
    </xf>
    <xf numFmtId="0" fontId="53" fillId="53" borderId="10" xfId="93" applyFont="1" applyFill="1" applyBorder="1" applyAlignment="1" applyProtection="1">
      <alignment horizontal="center" vertical="center" wrapText="1"/>
    </xf>
    <xf numFmtId="0" fontId="53" fillId="0" borderId="13" xfId="93" applyFont="1" applyFill="1" applyBorder="1" applyAlignment="1" applyProtection="1">
      <alignment horizontal="center" vertical="center"/>
    </xf>
    <xf numFmtId="2" fontId="73" fillId="0" borderId="5" xfId="93" applyNumberFormat="1" applyFont="1" applyFill="1" applyBorder="1" applyAlignment="1" applyProtection="1">
      <alignment vertical="center"/>
    </xf>
    <xf numFmtId="165" fontId="73" fillId="0" borderId="62" xfId="94" applyNumberFormat="1" applyFont="1" applyFill="1" applyBorder="1" applyAlignment="1" applyProtection="1">
      <alignment vertical="center"/>
    </xf>
    <xf numFmtId="2" fontId="73" fillId="0" borderId="11" xfId="93" applyNumberFormat="1" applyFont="1" applyFill="1" applyBorder="1" applyAlignment="1" applyProtection="1">
      <alignment vertical="center"/>
    </xf>
    <xf numFmtId="165" fontId="73" fillId="0" borderId="57" xfId="94" applyNumberFormat="1" applyFont="1" applyFill="1" applyBorder="1" applyAlignment="1" applyProtection="1">
      <alignment vertical="center"/>
    </xf>
    <xf numFmtId="43" fontId="53" fillId="0" borderId="11" xfId="101" applyFont="1" applyFill="1" applyBorder="1" applyProtection="1"/>
    <xf numFmtId="0" fontId="53" fillId="53" borderId="23" xfId="93" applyFont="1" applyFill="1" applyBorder="1" applyAlignment="1" applyProtection="1">
      <alignment horizontal="center" vertical="center" wrapText="1"/>
    </xf>
    <xf numFmtId="1" fontId="53" fillId="53" borderId="2" xfId="93" applyNumberFormat="1" applyFont="1" applyFill="1" applyBorder="1" applyAlignment="1" applyProtection="1">
      <alignment horizontal="center" vertical="center" wrapText="1"/>
    </xf>
    <xf numFmtId="0" fontId="53" fillId="53" borderId="3" xfId="93" applyFont="1" applyFill="1" applyBorder="1" applyAlignment="1" applyProtection="1">
      <alignment horizontal="center" vertical="center" wrapText="1"/>
    </xf>
    <xf numFmtId="165" fontId="53" fillId="53" borderId="3" xfId="94" applyNumberFormat="1" applyFont="1" applyFill="1" applyBorder="1" applyAlignment="1" applyProtection="1">
      <alignment horizontal="center" vertical="center" wrapText="1"/>
    </xf>
    <xf numFmtId="165" fontId="53" fillId="53" borderId="16" xfId="101" applyNumberFormat="1" applyFont="1" applyFill="1" applyBorder="1" applyAlignment="1" applyProtection="1">
      <alignment horizontal="left" vertical="center" wrapText="1"/>
    </xf>
    <xf numFmtId="0" fontId="53" fillId="53" borderId="15" xfId="93" applyFont="1" applyFill="1" applyBorder="1" applyAlignment="1" applyProtection="1">
      <alignment horizontal="center" vertical="center" wrapText="1"/>
    </xf>
    <xf numFmtId="43" fontId="53" fillId="53" borderId="3" xfId="101" applyFont="1" applyFill="1" applyBorder="1" applyProtection="1"/>
    <xf numFmtId="0" fontId="53" fillId="0" borderId="0" xfId="93" applyNumberFormat="1" applyFont="1" applyFill="1" applyProtection="1"/>
    <xf numFmtId="2" fontId="73" fillId="0" borderId="0" xfId="93" applyNumberFormat="1" applyFont="1" applyFill="1" applyBorder="1" applyAlignment="1" applyProtection="1">
      <alignment vertical="center"/>
    </xf>
    <xf numFmtId="43" fontId="53" fillId="0" borderId="0" xfId="93" applyNumberFormat="1" applyFont="1" applyFill="1" applyProtection="1"/>
    <xf numFmtId="43" fontId="53" fillId="33" borderId="0" xfId="93" applyNumberFormat="1" applyFont="1" applyFill="1" applyProtection="1"/>
    <xf numFmtId="10" fontId="53" fillId="0" borderId="0" xfId="95" applyNumberFormat="1" applyFont="1" applyFill="1" applyProtection="1"/>
    <xf numFmtId="165" fontId="53" fillId="0" borderId="0" xfId="93" applyNumberFormat="1" applyFont="1" applyFill="1" applyProtection="1"/>
    <xf numFmtId="165" fontId="53" fillId="0" borderId="0" xfId="94" applyNumberFormat="1" applyFont="1" applyFill="1" applyProtection="1"/>
    <xf numFmtId="0" fontId="53" fillId="0" borderId="0" xfId="93" applyFont="1" applyFill="1" applyAlignment="1" applyProtection="1">
      <alignment horizontal="center"/>
    </xf>
    <xf numFmtId="165" fontId="53" fillId="33" borderId="0" xfId="94" applyNumberFormat="1" applyFont="1" applyFill="1" applyProtection="1"/>
    <xf numFmtId="165" fontId="53" fillId="0" borderId="0" xfId="95" applyNumberFormat="1" applyFont="1" applyFill="1" applyProtection="1"/>
    <xf numFmtId="43" fontId="53" fillId="0" borderId="0" xfId="94" applyNumberFormat="1" applyFont="1" applyFill="1" applyProtection="1"/>
    <xf numFmtId="43" fontId="53" fillId="0" borderId="0" xfId="0" applyNumberFormat="1" applyFont="1" applyFill="1" applyProtection="1"/>
    <xf numFmtId="165" fontId="53" fillId="0" borderId="0" xfId="99" applyNumberFormat="1" applyFont="1" applyFill="1" applyAlignment="1" applyProtection="1"/>
    <xf numFmtId="169" fontId="53" fillId="0" borderId="0" xfId="0" applyNumberFormat="1" applyFont="1" applyFill="1" applyProtection="1"/>
    <xf numFmtId="165" fontId="53" fillId="0" borderId="0" xfId="99" applyNumberFormat="1" applyFont="1" applyFill="1" applyProtection="1"/>
    <xf numFmtId="0" fontId="53" fillId="33" borderId="0" xfId="93" applyFont="1" applyFill="1" applyAlignment="1" applyProtection="1">
      <alignment horizontal="center"/>
    </xf>
    <xf numFmtId="0" fontId="53" fillId="0" borderId="0" xfId="0" applyFont="1" applyFill="1" applyProtection="1"/>
    <xf numFmtId="169" fontId="53" fillId="0" borderId="0" xfId="93" applyNumberFormat="1" applyFont="1" applyFill="1" applyProtection="1"/>
    <xf numFmtId="169" fontId="53" fillId="33" borderId="0" xfId="0" applyNumberFormat="1" applyFont="1" applyFill="1" applyProtection="1"/>
    <xf numFmtId="165" fontId="53" fillId="50" borderId="14" xfId="94" applyNumberFormat="1" applyFont="1" applyFill="1" applyBorder="1" applyAlignment="1" applyProtection="1">
      <alignment vertical="center" wrapText="1"/>
    </xf>
    <xf numFmtId="165" fontId="53" fillId="51" borderId="6" xfId="94" applyNumberFormat="1" applyFont="1" applyFill="1" applyBorder="1" applyAlignment="1" applyProtection="1">
      <alignment horizontal="center" vertical="center" wrapText="1"/>
    </xf>
    <xf numFmtId="0" fontId="8" fillId="52" borderId="22" xfId="93" applyFont="1" applyFill="1" applyBorder="1" applyAlignment="1" applyProtection="1">
      <alignment horizontal="center" vertical="center" wrapText="1"/>
    </xf>
    <xf numFmtId="1" fontId="8" fillId="52" borderId="6" xfId="93" applyNumberFormat="1" applyFont="1" applyFill="1" applyBorder="1" applyAlignment="1" applyProtection="1">
      <alignment horizontal="center" vertical="center" wrapText="1"/>
    </xf>
    <xf numFmtId="0" fontId="8" fillId="52" borderId="6" xfId="93" applyFont="1" applyFill="1" applyBorder="1" applyAlignment="1" applyProtection="1">
      <alignment horizontal="center" vertical="center" wrapText="1"/>
    </xf>
    <xf numFmtId="2" fontId="8" fillId="52" borderId="6" xfId="93" applyNumberFormat="1" applyFont="1" applyFill="1" applyBorder="1" applyAlignment="1" applyProtection="1">
      <alignment horizontal="center" vertical="center" wrapText="1"/>
    </xf>
    <xf numFmtId="9" fontId="8" fillId="52" borderId="6" xfId="93" applyNumberFormat="1" applyFont="1" applyFill="1" applyBorder="1" applyAlignment="1" applyProtection="1">
      <alignment horizontal="center" vertical="center" wrapText="1"/>
    </xf>
    <xf numFmtId="165" fontId="8" fillId="52" borderId="6" xfId="101" applyNumberFormat="1" applyFont="1" applyFill="1" applyBorder="1" applyAlignment="1" applyProtection="1">
      <alignment horizontal="left" vertical="center" wrapText="1"/>
    </xf>
    <xf numFmtId="165" fontId="8" fillId="52" borderId="6" xfId="94" applyNumberFormat="1" applyFont="1" applyFill="1" applyBorder="1" applyAlignment="1" applyProtection="1">
      <alignment horizontal="center" vertical="center" wrapText="1"/>
    </xf>
    <xf numFmtId="167" fontId="8" fillId="52" borderId="6" xfId="100" applyNumberFormat="1" applyFont="1" applyFill="1" applyBorder="1" applyAlignment="1" applyProtection="1">
      <alignment horizontal="center" vertical="center" wrapText="1"/>
    </xf>
    <xf numFmtId="165" fontId="8" fillId="52" borderId="5" xfId="94" applyNumberFormat="1" applyFont="1" applyFill="1" applyBorder="1" applyAlignment="1" applyProtection="1">
      <alignment horizontal="center" vertical="center" wrapText="1"/>
    </xf>
    <xf numFmtId="1" fontId="8" fillId="52" borderId="49" xfId="93" applyNumberFormat="1" applyFont="1" applyFill="1" applyBorder="1" applyAlignment="1" applyProtection="1">
      <alignment horizontal="center" vertical="center" wrapText="1"/>
    </xf>
    <xf numFmtId="0" fontId="8" fillId="52" borderId="6" xfId="93" applyFont="1" applyFill="1" applyBorder="1" applyAlignment="1" applyProtection="1">
      <alignment horizontal="left" vertical="center" wrapText="1"/>
    </xf>
    <xf numFmtId="43" fontId="14" fillId="33" borderId="0" xfId="101" applyFont="1" applyFill="1" applyProtection="1"/>
    <xf numFmtId="0" fontId="14" fillId="33" borderId="0" xfId="93" applyFont="1" applyFill="1" applyProtection="1"/>
    <xf numFmtId="165" fontId="8" fillId="52" borderId="11" xfId="96" applyNumberFormat="1" applyFont="1" applyFill="1" applyBorder="1" applyAlignment="1" applyProtection="1">
      <alignment horizontal="center" vertical="center" wrapText="1"/>
    </xf>
    <xf numFmtId="10" fontId="8" fillId="52" borderId="11" xfId="100" applyNumberFormat="1" applyFont="1" applyFill="1" applyBorder="1" applyAlignment="1" applyProtection="1">
      <alignment horizontal="center" vertical="center" wrapText="1"/>
    </xf>
    <xf numFmtId="165" fontId="8" fillId="52" borderId="6" xfId="93" applyNumberFormat="1" applyFont="1" applyFill="1" applyBorder="1" applyAlignment="1" applyProtection="1">
      <alignment horizontal="center" vertical="center" wrapText="1"/>
    </xf>
    <xf numFmtId="43" fontId="8" fillId="52" borderId="6" xfId="101" applyFont="1" applyFill="1" applyBorder="1" applyProtection="1"/>
    <xf numFmtId="0" fontId="8" fillId="52" borderId="18" xfId="93" applyFont="1" applyFill="1" applyBorder="1" applyAlignment="1" applyProtection="1">
      <alignment horizontal="center" vertical="center" wrapText="1"/>
    </xf>
    <xf numFmtId="166" fontId="8" fillId="52" borderId="11" xfId="100" applyNumberFormat="1" applyFont="1" applyFill="1" applyBorder="1" applyAlignment="1" applyProtection="1">
      <alignment horizontal="center" vertical="center" wrapText="1"/>
    </xf>
    <xf numFmtId="171" fontId="8" fillId="52" borderId="6" xfId="94" applyNumberFormat="1" applyFont="1" applyFill="1" applyBorder="1" applyAlignment="1" applyProtection="1">
      <alignment horizontal="center" vertical="center" wrapText="1"/>
    </xf>
    <xf numFmtId="43" fontId="8" fillId="52" borderId="0" xfId="101" applyFont="1" applyFill="1" applyProtection="1"/>
    <xf numFmtId="0" fontId="8" fillId="52" borderId="0" xfId="93" applyFont="1" applyFill="1" applyProtection="1"/>
    <xf numFmtId="0" fontId="8" fillId="33" borderId="22" xfId="93" applyFont="1" applyFill="1" applyBorder="1" applyAlignment="1" applyProtection="1">
      <alignment horizontal="center" vertical="center" wrapText="1"/>
    </xf>
    <xf numFmtId="43" fontId="14" fillId="33" borderId="0" xfId="99" applyFont="1" applyFill="1" applyProtection="1"/>
    <xf numFmtId="165" fontId="8" fillId="52" borderId="11" xfId="94" applyNumberFormat="1" applyFont="1" applyFill="1" applyBorder="1" applyAlignment="1" applyProtection="1">
      <alignment horizontal="center" vertical="center" wrapText="1"/>
    </xf>
    <xf numFmtId="0" fontId="8" fillId="52" borderId="49" xfId="93" applyFont="1" applyFill="1" applyBorder="1" applyAlignment="1" applyProtection="1">
      <alignment horizontal="center" vertical="center" wrapText="1"/>
    </xf>
    <xf numFmtId="2" fontId="8" fillId="52" borderId="11" xfId="93" applyNumberFormat="1" applyFont="1" applyFill="1" applyBorder="1" applyAlignment="1" applyProtection="1">
      <alignment horizontal="center" vertical="center" wrapText="1"/>
    </xf>
    <xf numFmtId="0" fontId="8" fillId="52" borderId="6" xfId="93" applyNumberFormat="1" applyFont="1" applyFill="1" applyBorder="1" applyAlignment="1" applyProtection="1">
      <alignment horizontal="center" vertical="center" wrapText="1"/>
    </xf>
    <xf numFmtId="0" fontId="8" fillId="52" borderId="6" xfId="93" applyFont="1" applyFill="1" applyBorder="1" applyAlignment="1" applyProtection="1">
      <alignment horizontal="center" vertical="center"/>
    </xf>
    <xf numFmtId="10" fontId="8" fillId="52" borderId="6" xfId="95" applyNumberFormat="1" applyFont="1" applyFill="1" applyBorder="1" applyAlignment="1" applyProtection="1">
      <alignment horizontal="center" vertical="center" wrapText="1"/>
    </xf>
    <xf numFmtId="43" fontId="8" fillId="52" borderId="6" xfId="93" applyNumberFormat="1" applyFont="1" applyFill="1" applyBorder="1" applyAlignment="1" applyProtection="1">
      <alignment horizontal="center" vertical="center" wrapText="1"/>
    </xf>
    <xf numFmtId="9" fontId="14" fillId="52" borderId="6" xfId="93" applyNumberFormat="1" applyFont="1" applyFill="1" applyBorder="1" applyAlignment="1" applyProtection="1">
      <alignment horizontal="center" vertical="center" wrapText="1"/>
    </xf>
    <xf numFmtId="9" fontId="8" fillId="52" borderId="6" xfId="100" applyFont="1" applyFill="1" applyBorder="1" applyAlignment="1" applyProtection="1">
      <alignment horizontal="center" vertical="center" wrapText="1"/>
    </xf>
    <xf numFmtId="43" fontId="8" fillId="52" borderId="10" xfId="101" applyFont="1" applyFill="1" applyBorder="1" applyProtection="1"/>
    <xf numFmtId="0" fontId="14" fillId="50" borderId="0" xfId="93" applyFont="1" applyFill="1" applyProtection="1"/>
    <xf numFmtId="10" fontId="8" fillId="52" borderId="6" xfId="93" applyNumberFormat="1" applyFont="1" applyFill="1" applyBorder="1" applyAlignment="1" applyProtection="1">
      <alignment horizontal="center" vertical="center" wrapText="1"/>
    </xf>
    <xf numFmtId="0" fontId="8" fillId="50" borderId="0" xfId="93" applyFont="1" applyFill="1" applyProtection="1"/>
    <xf numFmtId="0" fontId="8" fillId="54" borderId="22" xfId="93" applyFont="1" applyFill="1" applyBorder="1" applyAlignment="1" applyProtection="1">
      <alignment horizontal="center" vertical="center" wrapText="1"/>
    </xf>
    <xf numFmtId="0" fontId="8" fillId="54" borderId="6" xfId="93" applyFont="1" applyFill="1" applyBorder="1" applyAlignment="1" applyProtection="1">
      <alignment horizontal="center" vertical="center" wrapText="1"/>
    </xf>
    <xf numFmtId="0" fontId="8" fillId="54" borderId="6" xfId="93" quotePrefix="1" applyNumberFormat="1" applyFont="1" applyFill="1" applyBorder="1" applyAlignment="1" applyProtection="1">
      <alignment horizontal="center" vertical="center" wrapText="1"/>
    </xf>
    <xf numFmtId="165" fontId="8" fillId="54" borderId="6" xfId="94" applyNumberFormat="1" applyFont="1" applyFill="1" applyBorder="1" applyAlignment="1" applyProtection="1">
      <alignment horizontal="center" vertical="center" wrapText="1"/>
    </xf>
    <xf numFmtId="10" fontId="8" fillId="54" borderId="6" xfId="95" applyNumberFormat="1" applyFont="1" applyFill="1" applyBorder="1" applyAlignment="1" applyProtection="1">
      <alignment horizontal="center" vertical="center" wrapText="1"/>
    </xf>
    <xf numFmtId="165" fontId="8" fillId="54" borderId="6" xfId="93" applyNumberFormat="1" applyFont="1" applyFill="1" applyBorder="1" applyAlignment="1" applyProtection="1">
      <alignment horizontal="center" vertical="center" wrapText="1"/>
    </xf>
    <xf numFmtId="0" fontId="8" fillId="54" borderId="49" xfId="93" applyFont="1" applyFill="1" applyBorder="1" applyAlignment="1" applyProtection="1">
      <alignment horizontal="center" vertical="center" wrapText="1"/>
    </xf>
    <xf numFmtId="43" fontId="8" fillId="54" borderId="6" xfId="101" applyFont="1" applyFill="1" applyBorder="1" applyAlignment="1" applyProtection="1">
      <alignment horizontal="justify" vertical="center" wrapText="1"/>
    </xf>
    <xf numFmtId="0" fontId="9" fillId="54" borderId="0" xfId="93" applyFont="1" applyFill="1" applyAlignment="1" applyProtection="1"/>
    <xf numFmtId="43" fontId="8" fillId="54" borderId="6" xfId="101" applyFont="1" applyFill="1" applyBorder="1" applyProtection="1"/>
    <xf numFmtId="0" fontId="73" fillId="49" borderId="2" xfId="93" applyFont="1" applyFill="1" applyBorder="1" applyAlignment="1" applyProtection="1">
      <alignment horizontal="center" vertical="center" wrapText="1"/>
    </xf>
    <xf numFmtId="0" fontId="73" fillId="49" borderId="3" xfId="93" applyFont="1" applyFill="1" applyBorder="1" applyAlignment="1" applyProtection="1">
      <alignment horizontal="center" vertical="center" wrapText="1"/>
    </xf>
    <xf numFmtId="0" fontId="73" fillId="0" borderId="3" xfId="93" quotePrefix="1" applyNumberFormat="1" applyFont="1" applyFill="1" applyBorder="1" applyAlignment="1" applyProtection="1">
      <alignment horizontal="center" vertical="center" wrapText="1"/>
    </xf>
    <xf numFmtId="0" fontId="73" fillId="0" borderId="3" xfId="93" applyFont="1" applyFill="1" applyBorder="1" applyAlignment="1" applyProtection="1">
      <alignment horizontal="center" vertical="center" wrapText="1"/>
    </xf>
    <xf numFmtId="10" fontId="73" fillId="49" borderId="3" xfId="95" applyNumberFormat="1" applyFont="1" applyFill="1" applyBorder="1" applyAlignment="1" applyProtection="1">
      <alignment horizontal="center" vertical="center" wrapText="1"/>
    </xf>
    <xf numFmtId="0" fontId="73" fillId="49" borderId="4" xfId="93" applyFont="1" applyFill="1" applyBorder="1" applyAlignment="1" applyProtection="1">
      <alignment horizontal="center" vertical="center" wrapText="1"/>
    </xf>
    <xf numFmtId="0" fontId="73" fillId="0" borderId="16" xfId="93" applyFont="1" applyFill="1" applyBorder="1" applyAlignment="1" applyProtection="1">
      <alignment horizontal="center" vertical="center" wrapText="1"/>
    </xf>
    <xf numFmtId="43" fontId="53" fillId="50" borderId="11" xfId="93" applyNumberFormat="1" applyFont="1" applyFill="1" applyBorder="1" applyAlignment="1" applyProtection="1">
      <alignment horizontal="center" vertical="center" wrapText="1"/>
    </xf>
    <xf numFmtId="0" fontId="73" fillId="54" borderId="0" xfId="93" applyFont="1" applyFill="1" applyAlignment="1" applyProtection="1"/>
    <xf numFmtId="0" fontId="53" fillId="33" borderId="22" xfId="93" applyFont="1" applyFill="1" applyBorder="1" applyAlignment="1" applyProtection="1">
      <alignment horizontal="center" vertical="center" wrapText="1"/>
    </xf>
    <xf numFmtId="1" fontId="8" fillId="0" borderId="0" xfId="93" applyNumberFormat="1" applyFont="1" applyFill="1" applyAlignment="1" applyProtection="1">
      <alignment horizontal="center"/>
    </xf>
    <xf numFmtId="165" fontId="73" fillId="33" borderId="3" xfId="94" applyNumberFormat="1" applyFont="1" applyFill="1" applyBorder="1" applyAlignment="1" applyProtection="1">
      <alignment horizontal="center" vertical="center" wrapText="1"/>
    </xf>
    <xf numFmtId="0" fontId="53" fillId="56" borderId="22" xfId="93" applyFont="1" applyFill="1" applyBorder="1" applyAlignment="1" applyProtection="1">
      <alignment horizontal="center" vertical="center" wrapText="1"/>
    </xf>
    <xf numFmtId="0" fontId="53" fillId="56" borderId="11" xfId="93" applyFont="1" applyFill="1" applyBorder="1" applyAlignment="1" applyProtection="1">
      <alignment horizontal="center" vertical="center" wrapText="1"/>
    </xf>
    <xf numFmtId="9" fontId="53" fillId="56" borderId="11" xfId="93" applyNumberFormat="1" applyFont="1" applyFill="1" applyBorder="1" applyAlignment="1" applyProtection="1">
      <alignment horizontal="center" vertical="center" wrapText="1"/>
    </xf>
    <xf numFmtId="2" fontId="53" fillId="56" borderId="11" xfId="93" applyNumberFormat="1" applyFont="1" applyFill="1" applyBorder="1" applyAlignment="1" applyProtection="1">
      <alignment horizontal="center" vertical="center" wrapText="1"/>
    </xf>
    <xf numFmtId="0" fontId="53" fillId="56" borderId="6" xfId="93" applyFont="1" applyFill="1" applyBorder="1" applyAlignment="1" applyProtection="1">
      <alignment horizontal="center" vertical="center" wrapText="1"/>
    </xf>
    <xf numFmtId="165" fontId="53" fillId="56" borderId="6" xfId="94" applyNumberFormat="1" applyFont="1" applyFill="1" applyBorder="1" applyAlignment="1" applyProtection="1">
      <alignment horizontal="center" vertical="center" wrapText="1"/>
    </xf>
    <xf numFmtId="165" fontId="53" fillId="56" borderId="6" xfId="96" applyNumberFormat="1" applyFont="1" applyFill="1" applyBorder="1" applyAlignment="1" applyProtection="1">
      <alignment horizontal="center" vertical="center" wrapText="1"/>
    </xf>
    <xf numFmtId="166" fontId="53" fillId="56" borderId="11" xfId="95" applyNumberFormat="1" applyFont="1" applyFill="1" applyBorder="1" applyAlignment="1" applyProtection="1">
      <alignment horizontal="center" vertical="center" wrapText="1"/>
    </xf>
    <xf numFmtId="165" fontId="53" fillId="56" borderId="11" xfId="94" applyNumberFormat="1" applyFont="1" applyFill="1" applyBorder="1" applyAlignment="1" applyProtection="1">
      <alignment horizontal="center" vertical="center" wrapText="1"/>
    </xf>
    <xf numFmtId="165" fontId="53" fillId="56" borderId="5" xfId="94" applyNumberFormat="1" applyFont="1" applyFill="1" applyBorder="1" applyAlignment="1" applyProtection="1">
      <alignment horizontal="center" vertical="center" wrapText="1"/>
    </xf>
    <xf numFmtId="1" fontId="53" fillId="56" borderId="57" xfId="93" applyNumberFormat="1" applyFont="1" applyFill="1" applyBorder="1" applyAlignment="1" applyProtection="1">
      <alignment horizontal="center" vertical="center" wrapText="1"/>
    </xf>
    <xf numFmtId="43" fontId="53" fillId="56" borderId="6" xfId="101" applyFont="1" applyFill="1" applyBorder="1" applyProtection="1"/>
    <xf numFmtId="43" fontId="75" fillId="56" borderId="0" xfId="101" applyFont="1" applyFill="1" applyProtection="1"/>
    <xf numFmtId="0" fontId="75" fillId="56" borderId="0" xfId="93" applyFont="1" applyFill="1" applyProtection="1"/>
    <xf numFmtId="167" fontId="8" fillId="50" borderId="11" xfId="95" applyNumberFormat="1" applyFont="1" applyFill="1" applyBorder="1" applyAlignment="1" applyProtection="1">
      <alignment horizontal="center" vertical="center" wrapText="1"/>
    </xf>
    <xf numFmtId="165" fontId="8" fillId="53" borderId="6" xfId="101" applyNumberFormat="1" applyFont="1" applyFill="1" applyBorder="1" applyAlignment="1" applyProtection="1">
      <alignment horizontal="left" vertical="center" wrapText="1"/>
    </xf>
    <xf numFmtId="165" fontId="8" fillId="55" borderId="6" xfId="93" applyNumberFormat="1" applyFont="1" applyFill="1" applyBorder="1" applyAlignment="1" applyProtection="1">
      <alignment horizontal="center" vertical="center" wrapText="1"/>
    </xf>
    <xf numFmtId="165" fontId="8" fillId="53" borderId="6" xfId="96" applyNumberFormat="1" applyFont="1" applyFill="1" applyBorder="1" applyAlignment="1" applyProtection="1">
      <alignment horizontal="center" vertical="center" wrapText="1"/>
    </xf>
    <xf numFmtId="165" fontId="8" fillId="55" borderId="6" xfId="96" applyNumberFormat="1" applyFont="1" applyFill="1" applyBorder="1" applyAlignment="1" applyProtection="1">
      <alignment horizontal="center" vertical="center" wrapText="1"/>
    </xf>
    <xf numFmtId="10" fontId="53" fillId="53" borderId="3" xfId="100" applyNumberFormat="1" applyFont="1" applyFill="1" applyBorder="1" applyAlignment="1" applyProtection="1">
      <alignment horizontal="center" vertical="center" wrapText="1"/>
    </xf>
    <xf numFmtId="0" fontId="8" fillId="33" borderId="6" xfId="93" applyFont="1" applyFill="1" applyBorder="1" applyAlignment="1" applyProtection="1">
      <alignment horizontal="center" vertical="center" wrapText="1"/>
    </xf>
    <xf numFmtId="165" fontId="8" fillId="33" borderId="11" xfId="96" applyNumberFormat="1" applyFont="1" applyFill="1" applyBorder="1" applyAlignment="1" applyProtection="1">
      <alignment horizontal="center" vertical="center" wrapText="1"/>
    </xf>
    <xf numFmtId="165" fontId="8" fillId="33" borderId="6" xfId="94" applyNumberFormat="1" applyFont="1" applyFill="1" applyBorder="1" applyAlignment="1" applyProtection="1">
      <alignment horizontal="center" vertical="center" wrapText="1"/>
    </xf>
    <xf numFmtId="166" fontId="8" fillId="33" borderId="11" xfId="100" applyNumberFormat="1" applyFont="1" applyFill="1" applyBorder="1" applyAlignment="1" applyProtection="1">
      <alignment horizontal="center" vertical="center" wrapText="1"/>
    </xf>
    <xf numFmtId="165" fontId="8" fillId="33" borderId="6" xfId="93" applyNumberFormat="1" applyFont="1" applyFill="1" applyBorder="1" applyAlignment="1" applyProtection="1">
      <alignment horizontal="center" vertical="center" wrapText="1"/>
    </xf>
    <xf numFmtId="165" fontId="8" fillId="33" borderId="5" xfId="94" applyNumberFormat="1" applyFont="1" applyFill="1" applyBorder="1" applyAlignment="1" applyProtection="1">
      <alignment horizontal="center" vertical="center" wrapText="1"/>
    </xf>
    <xf numFmtId="0" fontId="8" fillId="33" borderId="57" xfId="93" applyFont="1" applyFill="1" applyBorder="1" applyAlignment="1" applyProtection="1">
      <alignment horizontal="center" vertical="center" wrapText="1"/>
    </xf>
    <xf numFmtId="0" fontId="8" fillId="33" borderId="6" xfId="93" quotePrefix="1" applyNumberFormat="1" applyFont="1" applyFill="1" applyBorder="1" applyAlignment="1" applyProtection="1">
      <alignment horizontal="center" vertical="center" wrapText="1"/>
    </xf>
    <xf numFmtId="10" fontId="8" fillId="33" borderId="6" xfId="95" applyNumberFormat="1" applyFont="1" applyFill="1" applyBorder="1" applyAlignment="1" applyProtection="1">
      <alignment horizontal="center" vertical="center" wrapText="1"/>
    </xf>
    <xf numFmtId="0" fontId="8" fillId="33" borderId="49" xfId="93" applyFont="1" applyFill="1" applyBorder="1" applyAlignment="1" applyProtection="1">
      <alignment horizontal="center" vertical="center" wrapText="1"/>
    </xf>
    <xf numFmtId="43" fontId="8" fillId="33" borderId="6" xfId="101" applyFont="1" applyFill="1" applyBorder="1" applyAlignment="1" applyProtection="1">
      <alignment horizontal="justify" vertical="center" wrapText="1"/>
    </xf>
    <xf numFmtId="43" fontId="53" fillId="55" borderId="11" xfId="101" applyFont="1" applyFill="1" applyBorder="1" applyProtection="1"/>
    <xf numFmtId="1" fontId="53" fillId="53" borderId="6" xfId="93" applyNumberFormat="1" applyFont="1" applyFill="1" applyBorder="1" applyAlignment="1" applyProtection="1">
      <alignment horizontal="center" vertical="center" wrapText="1"/>
    </xf>
    <xf numFmtId="0" fontId="8" fillId="54" borderId="20" xfId="93" applyFont="1" applyFill="1" applyBorder="1" applyAlignment="1" applyProtection="1">
      <alignment horizontal="center" vertical="center" wrapText="1"/>
    </xf>
    <xf numFmtId="0" fontId="8" fillId="54" borderId="5" xfId="93" applyFont="1" applyFill="1" applyBorder="1" applyAlignment="1" applyProtection="1">
      <alignment horizontal="center" vertical="center" wrapText="1"/>
    </xf>
    <xf numFmtId="0" fontId="8" fillId="54" borderId="5" xfId="93" quotePrefix="1" applyNumberFormat="1" applyFont="1" applyFill="1" applyBorder="1" applyAlignment="1" applyProtection="1">
      <alignment horizontal="center" vertical="center" wrapText="1"/>
    </xf>
    <xf numFmtId="165" fontId="8" fillId="54" borderId="5" xfId="94" applyNumberFormat="1" applyFont="1" applyFill="1" applyBorder="1" applyAlignment="1" applyProtection="1">
      <alignment horizontal="center" vertical="center" wrapText="1"/>
    </xf>
    <xf numFmtId="10" fontId="8" fillId="54" borderId="5" xfId="95" applyNumberFormat="1" applyFont="1" applyFill="1" applyBorder="1" applyAlignment="1" applyProtection="1">
      <alignment horizontal="center" vertical="center" wrapText="1"/>
    </xf>
    <xf numFmtId="165" fontId="8" fillId="54" borderId="5" xfId="93" applyNumberFormat="1" applyFont="1" applyFill="1" applyBorder="1" applyAlignment="1" applyProtection="1">
      <alignment horizontal="center" vertical="center" wrapText="1"/>
    </xf>
    <xf numFmtId="0" fontId="8" fillId="54" borderId="62" xfId="93" applyFont="1" applyFill="1" applyBorder="1" applyAlignment="1" applyProtection="1">
      <alignment horizontal="center" vertical="center" wrapText="1"/>
    </xf>
    <xf numFmtId="43" fontId="8" fillId="54" borderId="5" xfId="101" applyFont="1" applyFill="1" applyBorder="1" applyAlignment="1" applyProtection="1">
      <alignment horizontal="justify" vertical="center" wrapText="1"/>
    </xf>
    <xf numFmtId="0" fontId="53" fillId="55" borderId="11" xfId="93" applyFont="1" applyFill="1" applyBorder="1" applyAlignment="1" applyProtection="1">
      <alignment horizontal="center" vertical="center" wrapText="1"/>
    </xf>
    <xf numFmtId="0" fontId="53" fillId="55" borderId="5" xfId="93" applyFont="1" applyFill="1" applyBorder="1" applyAlignment="1" applyProtection="1">
      <alignment horizontal="center" vertical="center" wrapText="1"/>
    </xf>
    <xf numFmtId="2" fontId="53" fillId="55" borderId="11" xfId="93" applyNumberFormat="1" applyFont="1" applyFill="1" applyBorder="1" applyAlignment="1" applyProtection="1">
      <alignment horizontal="center" vertical="center" wrapText="1"/>
    </xf>
    <xf numFmtId="0" fontId="53" fillId="55" borderId="57" xfId="93" applyFont="1" applyFill="1" applyBorder="1" applyAlignment="1" applyProtection="1">
      <alignment horizontal="center" vertical="center" wrapText="1"/>
    </xf>
    <xf numFmtId="1" fontId="53" fillId="50" borderId="11" xfId="93" applyNumberFormat="1" applyFont="1" applyFill="1" applyBorder="1" applyAlignment="1" applyProtection="1">
      <alignment horizontal="center" vertical="center" wrapText="1"/>
    </xf>
    <xf numFmtId="1" fontId="53" fillId="50" borderId="5" xfId="93" applyNumberFormat="1" applyFont="1" applyFill="1" applyBorder="1" applyAlignment="1" applyProtection="1">
      <alignment horizontal="center" vertical="center" wrapText="1"/>
    </xf>
    <xf numFmtId="0" fontId="53" fillId="50" borderId="11" xfId="93" applyFont="1" applyFill="1" applyBorder="1" applyAlignment="1" applyProtection="1">
      <alignment horizontal="center" vertical="center" wrapText="1"/>
    </xf>
    <xf numFmtId="0" fontId="53" fillId="50" borderId="5" xfId="93" applyFont="1" applyFill="1" applyBorder="1" applyAlignment="1" applyProtection="1">
      <alignment horizontal="center" vertical="center" wrapText="1"/>
    </xf>
    <xf numFmtId="0" fontId="53" fillId="50" borderId="21" xfId="93" applyFont="1" applyFill="1" applyBorder="1" applyAlignment="1" applyProtection="1">
      <alignment horizontal="center" vertical="center" wrapText="1"/>
    </xf>
    <xf numFmtId="0" fontId="53" fillId="50" borderId="57" xfId="93" applyFont="1" applyFill="1" applyBorder="1" applyAlignment="1" applyProtection="1">
      <alignment horizontal="center" vertical="center" wrapText="1"/>
    </xf>
    <xf numFmtId="10" fontId="53" fillId="50" borderId="11" xfId="95" applyNumberFormat="1" applyFont="1" applyFill="1" applyBorder="1" applyAlignment="1" applyProtection="1">
      <alignment horizontal="center" vertical="center" wrapText="1"/>
    </xf>
    <xf numFmtId="165" fontId="53" fillId="50" borderId="6" xfId="93" applyNumberFormat="1" applyFont="1" applyFill="1" applyBorder="1" applyAlignment="1" applyProtection="1">
      <alignment horizontal="center" vertical="center" wrapText="1"/>
    </xf>
    <xf numFmtId="0" fontId="53" fillId="50" borderId="22" xfId="93" applyFont="1" applyFill="1" applyBorder="1" applyAlignment="1" applyProtection="1">
      <alignment horizontal="center" vertical="center" wrapText="1"/>
    </xf>
    <xf numFmtId="0" fontId="53" fillId="50" borderId="6" xfId="93" applyFont="1" applyFill="1" applyBorder="1" applyAlignment="1" applyProtection="1">
      <alignment horizontal="center" vertical="center" wrapText="1"/>
    </xf>
    <xf numFmtId="0" fontId="53" fillId="50" borderId="6" xfId="93" applyFont="1" applyFill="1" applyBorder="1" applyAlignment="1" applyProtection="1">
      <alignment horizontal="center" vertical="center"/>
    </xf>
    <xf numFmtId="10" fontId="53" fillId="50" borderId="6" xfId="93" applyNumberFormat="1" applyFont="1" applyFill="1" applyBorder="1" applyAlignment="1" applyProtection="1">
      <alignment horizontal="center" vertical="center" wrapText="1"/>
    </xf>
    <xf numFmtId="0" fontId="53" fillId="50" borderId="6" xfId="93" applyNumberFormat="1" applyFont="1" applyFill="1" applyBorder="1" applyAlignment="1" applyProtection="1">
      <alignment horizontal="center" vertical="center" wrapText="1"/>
    </xf>
    <xf numFmtId="2" fontId="53" fillId="50" borderId="11" xfId="93" applyNumberFormat="1" applyFont="1" applyFill="1" applyBorder="1" applyAlignment="1" applyProtection="1">
      <alignment horizontal="center" vertical="center" wrapText="1"/>
    </xf>
    <xf numFmtId="2" fontId="53" fillId="50" borderId="14" xfId="93" applyNumberFormat="1" applyFont="1" applyFill="1" applyBorder="1" applyAlignment="1" applyProtection="1">
      <alignment horizontal="center" vertical="center" wrapText="1"/>
    </xf>
    <xf numFmtId="2" fontId="53" fillId="50" borderId="5" xfId="93" applyNumberFormat="1" applyFont="1" applyFill="1" applyBorder="1" applyAlignment="1" applyProtection="1">
      <alignment horizontal="center" vertical="center" wrapText="1"/>
    </xf>
    <xf numFmtId="9" fontId="53" fillId="50" borderId="11" xfId="93" applyNumberFormat="1" applyFont="1" applyFill="1" applyBorder="1" applyAlignment="1" applyProtection="1">
      <alignment horizontal="center" vertical="center" wrapText="1"/>
    </xf>
    <xf numFmtId="9" fontId="53" fillId="50" borderId="14" xfId="93" applyNumberFormat="1" applyFont="1" applyFill="1" applyBorder="1" applyAlignment="1" applyProtection="1">
      <alignment horizontal="center" vertical="center" wrapText="1"/>
    </xf>
    <xf numFmtId="165" fontId="53" fillId="50" borderId="11" xfId="94" applyNumberFormat="1" applyFont="1" applyFill="1" applyBorder="1" applyAlignment="1" applyProtection="1">
      <alignment horizontal="center" vertical="center"/>
    </xf>
    <xf numFmtId="2" fontId="53" fillId="50" borderId="6" xfId="93" applyNumberFormat="1" applyFont="1" applyFill="1" applyBorder="1" applyAlignment="1" applyProtection="1">
      <alignment horizontal="center" vertical="center" wrapText="1"/>
    </xf>
    <xf numFmtId="1" fontId="53" fillId="50" borderId="6" xfId="93" applyNumberFormat="1" applyFont="1" applyFill="1" applyBorder="1" applyAlignment="1" applyProtection="1">
      <alignment horizontal="center" vertical="center" wrapText="1"/>
    </xf>
    <xf numFmtId="9" fontId="53" fillId="50" borderId="6" xfId="93" applyNumberFormat="1" applyFont="1" applyFill="1" applyBorder="1" applyAlignment="1" applyProtection="1">
      <alignment horizontal="center" vertical="center" wrapText="1"/>
    </xf>
    <xf numFmtId="165" fontId="53" fillId="50" borderId="6" xfId="94" applyNumberFormat="1" applyFont="1" applyFill="1" applyBorder="1" applyAlignment="1" applyProtection="1">
      <alignment horizontal="center" vertical="center"/>
    </xf>
    <xf numFmtId="0" fontId="53" fillId="50" borderId="11" xfId="93" applyNumberFormat="1" applyFont="1" applyFill="1" applyBorder="1" applyAlignment="1" applyProtection="1">
      <alignment horizontal="center" vertical="center" wrapText="1"/>
    </xf>
    <xf numFmtId="0" fontId="53" fillId="50" borderId="5" xfId="93" applyNumberFormat="1" applyFont="1" applyFill="1" applyBorder="1" applyAlignment="1" applyProtection="1">
      <alignment horizontal="center" vertical="center" wrapText="1"/>
    </xf>
    <xf numFmtId="10" fontId="53" fillId="50" borderId="5" xfId="95" applyNumberFormat="1" applyFont="1" applyFill="1" applyBorder="1" applyAlignment="1" applyProtection="1">
      <alignment horizontal="center" vertical="center" wrapText="1"/>
    </xf>
    <xf numFmtId="0" fontId="53" fillId="50" borderId="62" xfId="93" applyFont="1" applyFill="1" applyBorder="1" applyAlignment="1" applyProtection="1">
      <alignment horizontal="center" vertical="center" wrapText="1"/>
    </xf>
    <xf numFmtId="0" fontId="53" fillId="50" borderId="20" xfId="93" applyFont="1" applyFill="1" applyBorder="1" applyAlignment="1" applyProtection="1">
      <alignment horizontal="center" vertical="center" wrapText="1"/>
    </xf>
    <xf numFmtId="165" fontId="53" fillId="50" borderId="11" xfId="93" applyNumberFormat="1" applyFont="1" applyFill="1" applyBorder="1" applyAlignment="1" applyProtection="1">
      <alignment horizontal="center" vertical="center" wrapText="1"/>
    </xf>
    <xf numFmtId="165" fontId="53" fillId="50" borderId="14" xfId="93" applyNumberFormat="1" applyFont="1" applyFill="1" applyBorder="1" applyAlignment="1" applyProtection="1">
      <alignment horizontal="center" vertical="center" wrapText="1"/>
    </xf>
    <xf numFmtId="165" fontId="53" fillId="50" borderId="5" xfId="93" applyNumberFormat="1" applyFont="1" applyFill="1" applyBorder="1" applyAlignment="1" applyProtection="1">
      <alignment horizontal="center" vertical="center" wrapText="1"/>
    </xf>
    <xf numFmtId="0" fontId="53" fillId="50" borderId="14" xfId="93" applyFont="1" applyFill="1" applyBorder="1" applyAlignment="1" applyProtection="1">
      <alignment horizontal="center" vertical="center" wrapText="1"/>
    </xf>
    <xf numFmtId="165" fontId="53" fillId="50" borderId="11" xfId="94" applyNumberFormat="1" applyFont="1" applyFill="1" applyBorder="1" applyAlignment="1" applyProtection="1">
      <alignment horizontal="center" vertical="center" wrapText="1"/>
    </xf>
    <xf numFmtId="165" fontId="53" fillId="50" borderId="5" xfId="94" applyNumberFormat="1" applyFont="1" applyFill="1" applyBorder="1" applyAlignment="1" applyProtection="1">
      <alignment horizontal="center" vertical="center" wrapText="1"/>
    </xf>
    <xf numFmtId="43" fontId="73" fillId="33" borderId="0" xfId="93" applyNumberFormat="1" applyFont="1" applyFill="1" applyAlignment="1" applyProtection="1"/>
    <xf numFmtId="0" fontId="53" fillId="54" borderId="20" xfId="93" applyFont="1" applyFill="1" applyBorder="1" applyAlignment="1" applyProtection="1">
      <alignment horizontal="center" vertical="center" wrapText="1"/>
    </xf>
    <xf numFmtId="0" fontId="53" fillId="54" borderId="5" xfId="93" applyFont="1" applyFill="1" applyBorder="1" applyAlignment="1" applyProtection="1">
      <alignment horizontal="center" vertical="center" wrapText="1"/>
    </xf>
    <xf numFmtId="0" fontId="53" fillId="54" borderId="5" xfId="93" quotePrefix="1" applyNumberFormat="1" applyFont="1" applyFill="1" applyBorder="1" applyAlignment="1" applyProtection="1">
      <alignment horizontal="center" vertical="center" wrapText="1"/>
    </xf>
    <xf numFmtId="165" fontId="53" fillId="54" borderId="5" xfId="94" applyNumberFormat="1" applyFont="1" applyFill="1" applyBorder="1" applyAlignment="1" applyProtection="1">
      <alignment horizontal="center" vertical="center" wrapText="1"/>
    </xf>
    <xf numFmtId="10" fontId="53" fillId="54" borderId="5" xfId="95" applyNumberFormat="1" applyFont="1" applyFill="1" applyBorder="1" applyAlignment="1" applyProtection="1">
      <alignment horizontal="center" vertical="center" wrapText="1"/>
    </xf>
    <xf numFmtId="165" fontId="53" fillId="54" borderId="5" xfId="93" applyNumberFormat="1" applyFont="1" applyFill="1" applyBorder="1" applyAlignment="1" applyProtection="1">
      <alignment horizontal="center" vertical="center" wrapText="1"/>
    </xf>
    <xf numFmtId="0" fontId="53" fillId="54" borderId="62" xfId="93" applyFont="1" applyFill="1" applyBorder="1" applyAlignment="1" applyProtection="1">
      <alignment horizontal="center" vertical="center" wrapText="1"/>
    </xf>
    <xf numFmtId="43" fontId="53" fillId="54" borderId="5" xfId="101" applyFont="1" applyFill="1" applyBorder="1" applyAlignment="1" applyProtection="1">
      <alignment horizontal="justify" vertical="center" wrapText="1"/>
    </xf>
    <xf numFmtId="0" fontId="8" fillId="50" borderId="21" xfId="93" applyFont="1" applyFill="1" applyBorder="1" applyAlignment="1" applyProtection="1">
      <alignment horizontal="center" vertical="center" wrapText="1"/>
    </xf>
    <xf numFmtId="0" fontId="8" fillId="50" borderId="11" xfId="93" applyFont="1" applyFill="1" applyBorder="1" applyAlignment="1" applyProtection="1">
      <alignment horizontal="center" vertical="center" wrapText="1"/>
    </xf>
    <xf numFmtId="165" fontId="8" fillId="50" borderId="6" xfId="93" applyNumberFormat="1" applyFont="1" applyFill="1" applyBorder="1" applyAlignment="1" applyProtection="1">
      <alignment horizontal="center" vertical="center" wrapText="1"/>
    </xf>
    <xf numFmtId="0" fontId="8" fillId="50" borderId="22" xfId="93" applyFont="1" applyFill="1" applyBorder="1" applyAlignment="1" applyProtection="1">
      <alignment horizontal="center" vertical="center" wrapText="1"/>
    </xf>
    <xf numFmtId="0" fontId="8" fillId="50" borderId="6" xfId="93" applyFont="1" applyFill="1" applyBorder="1" applyAlignment="1" applyProtection="1">
      <alignment horizontal="center" vertical="center" wrapText="1"/>
    </xf>
    <xf numFmtId="0" fontId="8" fillId="50" borderId="6" xfId="93" applyFont="1" applyFill="1" applyBorder="1" applyAlignment="1" applyProtection="1">
      <alignment horizontal="center" vertical="center"/>
    </xf>
    <xf numFmtId="0" fontId="8" fillId="50" borderId="6" xfId="93" applyNumberFormat="1" applyFont="1" applyFill="1" applyBorder="1" applyAlignment="1" applyProtection="1">
      <alignment horizontal="center" vertical="center" wrapText="1"/>
    </xf>
    <xf numFmtId="2" fontId="8" fillId="50" borderId="6" xfId="93" applyNumberFormat="1" applyFont="1" applyFill="1" applyBorder="1" applyAlignment="1" applyProtection="1">
      <alignment horizontal="center" vertical="center" wrapText="1"/>
    </xf>
    <xf numFmtId="1" fontId="8" fillId="50" borderId="6" xfId="93" applyNumberFormat="1" applyFont="1" applyFill="1" applyBorder="1" applyAlignment="1" applyProtection="1">
      <alignment horizontal="center" vertical="center" wrapText="1"/>
    </xf>
    <xf numFmtId="9" fontId="8" fillId="50" borderId="6" xfId="93" applyNumberFormat="1" applyFont="1" applyFill="1" applyBorder="1" applyAlignment="1" applyProtection="1">
      <alignment horizontal="center" vertical="center" wrapText="1"/>
    </xf>
    <xf numFmtId="165" fontId="8" fillId="51" borderId="6" xfId="101" applyNumberFormat="1" applyFont="1" applyFill="1" applyBorder="1" applyAlignment="1" applyProtection="1">
      <alignment horizontal="left" vertical="center" wrapText="1"/>
    </xf>
    <xf numFmtId="0" fontId="8" fillId="52" borderId="57" xfId="93" applyFont="1" applyFill="1" applyBorder="1" applyAlignment="1" applyProtection="1">
      <alignment horizontal="center" vertical="center" wrapText="1"/>
    </xf>
    <xf numFmtId="0" fontId="8" fillId="52" borderId="20" xfId="93" applyFont="1" applyFill="1" applyBorder="1" applyAlignment="1" applyProtection="1">
      <alignment horizontal="center" vertical="center" wrapText="1"/>
    </xf>
    <xf numFmtId="1" fontId="8" fillId="52" borderId="11" xfId="93" applyNumberFormat="1" applyFont="1" applyFill="1" applyBorder="1" applyAlignment="1" applyProtection="1">
      <alignment horizontal="center" vertical="center" wrapText="1"/>
    </xf>
    <xf numFmtId="0" fontId="8" fillId="52" borderId="11" xfId="93" applyFont="1" applyFill="1" applyBorder="1" applyAlignment="1" applyProtection="1">
      <alignment horizontal="center" vertical="center" wrapText="1"/>
    </xf>
    <xf numFmtId="0" fontId="8" fillId="52" borderId="26" xfId="93" applyFont="1" applyFill="1" applyBorder="1" applyAlignment="1" applyProtection="1">
      <alignment horizontal="center" vertical="center" wrapText="1"/>
    </xf>
    <xf numFmtId="43" fontId="8" fillId="50" borderId="6" xfId="101" applyFont="1" applyFill="1" applyBorder="1" applyAlignment="1" applyProtection="1">
      <alignment horizontal="center" vertical="center" wrapText="1"/>
    </xf>
    <xf numFmtId="0" fontId="8" fillId="33" borderId="5" xfId="93" applyFont="1" applyFill="1" applyBorder="1" applyAlignment="1" applyProtection="1">
      <alignment horizontal="center" vertical="center" wrapText="1"/>
    </xf>
    <xf numFmtId="2" fontId="8" fillId="33" borderId="6" xfId="93" applyNumberFormat="1" applyFont="1" applyFill="1" applyBorder="1" applyAlignment="1" applyProtection="1">
      <alignment horizontal="center" vertical="center" wrapText="1"/>
    </xf>
    <xf numFmtId="0" fontId="8" fillId="33" borderId="9" xfId="93" applyFont="1" applyFill="1" applyBorder="1" applyAlignment="1" applyProtection="1">
      <alignment horizontal="center" vertical="center" wrapText="1"/>
    </xf>
    <xf numFmtId="0" fontId="8" fillId="33" borderId="12" xfId="93" applyFont="1" applyFill="1" applyBorder="1" applyAlignment="1" applyProtection="1">
      <alignment horizontal="center" vertical="center" wrapText="1"/>
    </xf>
    <xf numFmtId="0" fontId="77" fillId="0" borderId="0" xfId="93" applyFont="1" applyFill="1" applyAlignment="1" applyProtection="1">
      <alignment horizontal="center"/>
    </xf>
    <xf numFmtId="0" fontId="78" fillId="0" borderId="0" xfId="93" applyFont="1" applyFill="1" applyAlignment="1" applyProtection="1">
      <alignment horizontal="center" wrapText="1"/>
    </xf>
    <xf numFmtId="0" fontId="53" fillId="50" borderId="20" xfId="93" applyFont="1" applyFill="1" applyBorder="1" applyAlignment="1" applyProtection="1">
      <alignment horizontal="center" vertical="center" wrapText="1"/>
    </xf>
    <xf numFmtId="0" fontId="53" fillId="50" borderId="22" xfId="93" applyFont="1" applyFill="1" applyBorder="1" applyAlignment="1" applyProtection="1">
      <alignment horizontal="center" vertical="center" wrapText="1"/>
    </xf>
    <xf numFmtId="0" fontId="53" fillId="50" borderId="13" xfId="93" applyFont="1" applyFill="1" applyBorder="1" applyAlignment="1" applyProtection="1">
      <alignment horizontal="center" vertical="center" wrapText="1"/>
    </xf>
    <xf numFmtId="0" fontId="53" fillId="50" borderId="5" xfId="93" applyFont="1" applyFill="1" applyBorder="1" applyAlignment="1" applyProtection="1">
      <alignment horizontal="center" vertical="center" wrapText="1"/>
    </xf>
    <xf numFmtId="2" fontId="53" fillId="50" borderId="5" xfId="93" applyNumberFormat="1" applyFont="1" applyFill="1" applyBorder="1" applyAlignment="1" applyProtection="1">
      <alignment horizontal="center" vertical="center" wrapText="1"/>
    </xf>
    <xf numFmtId="2" fontId="53" fillId="50" borderId="6" xfId="93" applyNumberFormat="1" applyFont="1" applyFill="1" applyBorder="1" applyAlignment="1" applyProtection="1">
      <alignment horizontal="center" vertical="center" wrapText="1"/>
    </xf>
    <xf numFmtId="0" fontId="53" fillId="50" borderId="5" xfId="93" applyNumberFormat="1" applyFont="1" applyFill="1" applyBorder="1" applyAlignment="1" applyProtection="1">
      <alignment horizontal="center" vertical="center" wrapText="1"/>
    </xf>
    <xf numFmtId="0" fontId="53" fillId="50" borderId="6" xfId="93" applyNumberFormat="1" applyFont="1" applyFill="1" applyBorder="1" applyAlignment="1" applyProtection="1">
      <alignment horizontal="center" vertical="center" wrapText="1"/>
    </xf>
    <xf numFmtId="0" fontId="53" fillId="50" borderId="57" xfId="93" applyFont="1" applyFill="1" applyBorder="1" applyAlignment="1" applyProtection="1">
      <alignment horizontal="center" vertical="center" wrapText="1"/>
    </xf>
    <xf numFmtId="0" fontId="53" fillId="50" borderId="62" xfId="93" applyFont="1" applyFill="1" applyBorder="1" applyAlignment="1" applyProtection="1">
      <alignment horizontal="center" vertical="center" wrapText="1"/>
    </xf>
    <xf numFmtId="0" fontId="53" fillId="50" borderId="21" xfId="93" applyFont="1" applyFill="1" applyBorder="1" applyAlignment="1" applyProtection="1">
      <alignment horizontal="center" vertical="center" wrapText="1"/>
    </xf>
    <xf numFmtId="0" fontId="53" fillId="50" borderId="11" xfId="93" applyFont="1" applyFill="1" applyBorder="1" applyAlignment="1" applyProtection="1">
      <alignment horizontal="center" vertical="center" wrapText="1"/>
    </xf>
    <xf numFmtId="0" fontId="53" fillId="50" borderId="11" xfId="93" applyNumberFormat="1" applyFont="1" applyFill="1" applyBorder="1" applyAlignment="1" applyProtection="1">
      <alignment horizontal="center" vertical="center" wrapText="1"/>
    </xf>
    <xf numFmtId="2" fontId="53" fillId="50" borderId="11" xfId="93" applyNumberFormat="1" applyFont="1" applyFill="1" applyBorder="1" applyAlignment="1" applyProtection="1">
      <alignment horizontal="center" vertical="center" wrapText="1"/>
    </xf>
    <xf numFmtId="10" fontId="53" fillId="50" borderId="11" xfId="95" applyNumberFormat="1" applyFont="1" applyFill="1" applyBorder="1" applyAlignment="1" applyProtection="1">
      <alignment horizontal="center" vertical="center" wrapText="1"/>
    </xf>
    <xf numFmtId="10" fontId="53" fillId="50" borderId="5" xfId="95" applyNumberFormat="1" applyFont="1" applyFill="1" applyBorder="1" applyAlignment="1" applyProtection="1">
      <alignment horizontal="center" vertical="center" wrapText="1"/>
    </xf>
    <xf numFmtId="165" fontId="53" fillId="50" borderId="6" xfId="93" applyNumberFormat="1" applyFont="1" applyFill="1" applyBorder="1" applyAlignment="1" applyProtection="1">
      <alignment horizontal="center" vertical="center" wrapText="1"/>
    </xf>
    <xf numFmtId="9" fontId="53" fillId="50" borderId="6" xfId="93" applyNumberFormat="1" applyFont="1" applyFill="1" applyBorder="1" applyAlignment="1" applyProtection="1">
      <alignment horizontal="center" vertical="center" wrapText="1"/>
    </xf>
    <xf numFmtId="165" fontId="53" fillId="50" borderId="6" xfId="94" applyNumberFormat="1" applyFont="1" applyFill="1" applyBorder="1" applyAlignment="1" applyProtection="1">
      <alignment horizontal="center" vertical="center"/>
    </xf>
    <xf numFmtId="1" fontId="53" fillId="50" borderId="11" xfId="93" applyNumberFormat="1" applyFont="1" applyFill="1" applyBorder="1" applyAlignment="1" applyProtection="1">
      <alignment horizontal="center" vertical="center" wrapText="1"/>
    </xf>
    <xf numFmtId="1" fontId="53" fillId="50" borderId="5" xfId="93" applyNumberFormat="1" applyFont="1" applyFill="1" applyBorder="1" applyAlignment="1" applyProtection="1">
      <alignment horizontal="center" vertical="center" wrapText="1"/>
    </xf>
    <xf numFmtId="0" fontId="53" fillId="50" borderId="14" xfId="93" applyFont="1" applyFill="1" applyBorder="1" applyAlignment="1" applyProtection="1">
      <alignment horizontal="center" vertical="center" wrapText="1"/>
    </xf>
    <xf numFmtId="2" fontId="53" fillId="50" borderId="14" xfId="93" applyNumberFormat="1" applyFont="1" applyFill="1" applyBorder="1" applyAlignment="1" applyProtection="1">
      <alignment horizontal="center" vertical="center" wrapText="1"/>
    </xf>
    <xf numFmtId="10" fontId="53" fillId="50" borderId="14" xfId="95" applyNumberFormat="1" applyFont="1" applyFill="1" applyBorder="1" applyAlignment="1" applyProtection="1">
      <alignment horizontal="center" vertical="center" wrapText="1"/>
    </xf>
    <xf numFmtId="165" fontId="53" fillId="50" borderId="11" xfId="93" applyNumberFormat="1" applyFont="1" applyFill="1" applyBorder="1" applyAlignment="1" applyProtection="1">
      <alignment horizontal="center" vertical="center" wrapText="1"/>
    </xf>
    <xf numFmtId="165" fontId="53" fillId="50" borderId="14" xfId="93" applyNumberFormat="1" applyFont="1" applyFill="1" applyBorder="1" applyAlignment="1" applyProtection="1">
      <alignment horizontal="center" vertical="center" wrapText="1"/>
    </xf>
    <xf numFmtId="165" fontId="53" fillId="50" borderId="5" xfId="93" applyNumberFormat="1" applyFont="1" applyFill="1" applyBorder="1" applyAlignment="1" applyProtection="1">
      <alignment horizontal="center" vertical="center" wrapText="1"/>
    </xf>
    <xf numFmtId="9" fontId="53" fillId="50" borderId="11" xfId="93" applyNumberFormat="1" applyFont="1" applyFill="1" applyBorder="1" applyAlignment="1" applyProtection="1">
      <alignment horizontal="center" vertical="center" wrapText="1"/>
    </xf>
    <xf numFmtId="9" fontId="53" fillId="50" borderId="14" xfId="93" applyNumberFormat="1" applyFont="1" applyFill="1" applyBorder="1" applyAlignment="1" applyProtection="1">
      <alignment horizontal="center" vertical="center" wrapText="1"/>
    </xf>
    <xf numFmtId="9" fontId="53" fillId="50" borderId="5" xfId="93" applyNumberFormat="1" applyFont="1" applyFill="1" applyBorder="1" applyAlignment="1" applyProtection="1">
      <alignment horizontal="center" vertical="center" wrapText="1"/>
    </xf>
    <xf numFmtId="165" fontId="53" fillId="50" borderId="11" xfId="94" applyNumberFormat="1" applyFont="1" applyFill="1" applyBorder="1" applyAlignment="1" applyProtection="1">
      <alignment horizontal="center" vertical="center"/>
    </xf>
    <xf numFmtId="165" fontId="53" fillId="50" borderId="14" xfId="94" applyNumberFormat="1" applyFont="1" applyFill="1" applyBorder="1" applyAlignment="1" applyProtection="1">
      <alignment horizontal="center" vertical="center"/>
    </xf>
    <xf numFmtId="165" fontId="53" fillId="50" borderId="5" xfId="94" applyNumberFormat="1" applyFont="1" applyFill="1" applyBorder="1" applyAlignment="1" applyProtection="1">
      <alignment horizontal="center" vertical="center"/>
    </xf>
    <xf numFmtId="1" fontId="53" fillId="50" borderId="6" xfId="93" applyNumberFormat="1" applyFont="1" applyFill="1" applyBorder="1" applyAlignment="1" applyProtection="1">
      <alignment horizontal="center" vertical="center" wrapText="1"/>
    </xf>
    <xf numFmtId="166" fontId="53" fillId="50" borderId="6" xfId="93" applyNumberFormat="1" applyFont="1" applyFill="1" applyBorder="1" applyAlignment="1" applyProtection="1">
      <alignment horizontal="center" vertical="center" wrapText="1"/>
    </xf>
    <xf numFmtId="0" fontId="53" fillId="50" borderId="6" xfId="93" applyFont="1" applyFill="1" applyBorder="1" applyAlignment="1" applyProtection="1">
      <alignment horizontal="center" vertical="center" wrapText="1"/>
    </xf>
    <xf numFmtId="10" fontId="53" fillId="50" borderId="6" xfId="93" applyNumberFormat="1" applyFont="1" applyFill="1" applyBorder="1" applyAlignment="1" applyProtection="1">
      <alignment horizontal="center" vertical="center" wrapText="1"/>
    </xf>
    <xf numFmtId="165" fontId="53" fillId="50" borderId="11" xfId="94" applyNumberFormat="1" applyFont="1" applyFill="1" applyBorder="1" applyAlignment="1" applyProtection="1">
      <alignment horizontal="center" vertical="center" wrapText="1"/>
    </xf>
    <xf numFmtId="165" fontId="53" fillId="50" borderId="5" xfId="94" applyNumberFormat="1" applyFont="1" applyFill="1" applyBorder="1" applyAlignment="1" applyProtection="1">
      <alignment horizontal="center" vertical="center" wrapText="1"/>
    </xf>
    <xf numFmtId="166" fontId="53" fillId="50" borderId="11" xfId="95" applyNumberFormat="1" applyFont="1" applyFill="1" applyBorder="1" applyAlignment="1" applyProtection="1">
      <alignment horizontal="center" vertical="center" wrapText="1"/>
    </xf>
    <xf numFmtId="166" fontId="53" fillId="50" borderId="5" xfId="95" applyNumberFormat="1" applyFont="1" applyFill="1" applyBorder="1" applyAlignment="1" applyProtection="1">
      <alignment horizontal="center" vertical="center" wrapText="1"/>
    </xf>
    <xf numFmtId="1" fontId="53" fillId="50" borderId="14" xfId="93" applyNumberFormat="1" applyFont="1" applyFill="1" applyBorder="1" applyAlignment="1" applyProtection="1">
      <alignment horizontal="center" vertical="center" wrapText="1"/>
    </xf>
    <xf numFmtId="0" fontId="53" fillId="50" borderId="6" xfId="93" applyFont="1" applyFill="1" applyBorder="1" applyAlignment="1" applyProtection="1">
      <alignment horizontal="center" vertical="center"/>
    </xf>
    <xf numFmtId="0" fontId="53" fillId="50" borderId="61" xfId="93" applyFont="1" applyFill="1" applyBorder="1" applyAlignment="1" applyProtection="1">
      <alignment horizontal="center" vertical="center" wrapText="1"/>
    </xf>
    <xf numFmtId="1" fontId="53" fillId="50" borderId="17" xfId="93" applyNumberFormat="1" applyFont="1" applyFill="1" applyBorder="1" applyAlignment="1" applyProtection="1">
      <alignment horizontal="center" vertical="center" wrapText="1"/>
    </xf>
    <xf numFmtId="0" fontId="53" fillId="50" borderId="17" xfId="93" applyFont="1" applyFill="1" applyBorder="1" applyAlignment="1" applyProtection="1">
      <alignment horizontal="center" vertical="center" wrapText="1"/>
    </xf>
    <xf numFmtId="0" fontId="53" fillId="50" borderId="60" xfId="93" applyFont="1" applyFill="1" applyBorder="1" applyAlignment="1" applyProtection="1">
      <alignment horizontal="center" vertical="center" wrapText="1"/>
    </xf>
    <xf numFmtId="10" fontId="53" fillId="50" borderId="17" xfId="95" applyNumberFormat="1" applyFont="1" applyFill="1" applyBorder="1" applyAlignment="1" applyProtection="1">
      <alignment horizontal="center" vertical="center" wrapText="1"/>
    </xf>
    <xf numFmtId="1" fontId="74" fillId="50" borderId="24" xfId="93" applyNumberFormat="1" applyFont="1" applyFill="1" applyBorder="1" applyAlignment="1" applyProtection="1">
      <alignment horizontal="center" vertical="center" wrapText="1"/>
    </xf>
    <xf numFmtId="1" fontId="74" fillId="50" borderId="7" xfId="93" applyNumberFormat="1" applyFont="1" applyFill="1" applyBorder="1" applyAlignment="1" applyProtection="1">
      <alignment horizontal="center" vertical="center" wrapText="1"/>
    </xf>
    <xf numFmtId="1" fontId="74" fillId="50" borderId="22" xfId="93" applyNumberFormat="1" applyFont="1" applyFill="1" applyBorder="1" applyAlignment="1" applyProtection="1">
      <alignment horizontal="center" vertical="center" wrapText="1"/>
    </xf>
    <xf numFmtId="1" fontId="74" fillId="50" borderId="6" xfId="93" applyNumberFormat="1" applyFont="1" applyFill="1" applyBorder="1" applyAlignment="1" applyProtection="1">
      <alignment horizontal="center" vertical="center" wrapText="1"/>
    </xf>
    <xf numFmtId="2" fontId="73" fillId="50" borderId="7" xfId="93" applyNumberFormat="1" applyFont="1" applyFill="1" applyBorder="1" applyAlignment="1" applyProtection="1">
      <alignment horizontal="center" vertical="center"/>
    </xf>
    <xf numFmtId="2" fontId="73" fillId="50" borderId="6" xfId="93" applyNumberFormat="1" applyFont="1" applyFill="1" applyBorder="1" applyAlignment="1" applyProtection="1">
      <alignment horizontal="center" vertical="center"/>
    </xf>
    <xf numFmtId="2" fontId="73" fillId="50" borderId="11" xfId="93" applyNumberFormat="1" applyFont="1" applyFill="1" applyBorder="1" applyAlignment="1" applyProtection="1">
      <alignment horizontal="center" vertical="center"/>
    </xf>
    <xf numFmtId="2" fontId="73" fillId="50" borderId="46" xfId="93" applyNumberFormat="1" applyFont="1" applyFill="1" applyBorder="1" applyAlignment="1" applyProtection="1">
      <alignment horizontal="center" vertical="center"/>
    </xf>
    <xf numFmtId="2" fontId="73" fillId="50" borderId="47" xfId="93" applyNumberFormat="1" applyFont="1" applyFill="1" applyBorder="1" applyAlignment="1" applyProtection="1">
      <alignment horizontal="center" vertical="center"/>
    </xf>
    <xf numFmtId="2" fontId="73" fillId="50" borderId="48" xfId="93" applyNumberFormat="1" applyFont="1" applyFill="1" applyBorder="1" applyAlignment="1" applyProtection="1">
      <alignment horizontal="center" vertical="center"/>
    </xf>
    <xf numFmtId="1" fontId="74" fillId="0" borderId="24" xfId="93" applyNumberFormat="1" applyFont="1" applyFill="1" applyBorder="1" applyAlignment="1" applyProtection="1">
      <alignment horizontal="center" vertical="center" wrapText="1"/>
    </xf>
    <xf numFmtId="1" fontId="74" fillId="0" borderId="7" xfId="93" applyNumberFormat="1" applyFont="1" applyFill="1" applyBorder="1" applyAlignment="1" applyProtection="1">
      <alignment horizontal="center" vertical="center" wrapText="1"/>
    </xf>
    <xf numFmtId="1" fontId="74" fillId="0" borderId="22" xfId="93" applyNumberFormat="1" applyFont="1" applyFill="1" applyBorder="1" applyAlignment="1" applyProtection="1">
      <alignment horizontal="center" vertical="center" wrapText="1"/>
    </xf>
    <xf numFmtId="1" fontId="74" fillId="0" borderId="6" xfId="93" applyNumberFormat="1" applyFont="1" applyFill="1" applyBorder="1" applyAlignment="1" applyProtection="1">
      <alignment horizontal="center" vertical="center" wrapText="1"/>
    </xf>
    <xf numFmtId="1" fontId="74" fillId="0" borderId="25" xfId="93" applyNumberFormat="1" applyFont="1" applyFill="1" applyBorder="1" applyAlignment="1" applyProtection="1">
      <alignment horizontal="center" vertical="center" wrapText="1"/>
    </xf>
    <xf numFmtId="1" fontId="74" fillId="0" borderId="10" xfId="93" applyNumberFormat="1" applyFont="1" applyFill="1" applyBorder="1" applyAlignment="1" applyProtection="1">
      <alignment horizontal="center" vertical="center" wrapText="1"/>
    </xf>
    <xf numFmtId="2" fontId="73" fillId="0" borderId="7" xfId="93" applyNumberFormat="1" applyFont="1" applyFill="1" applyBorder="1" applyAlignment="1" applyProtection="1">
      <alignment horizontal="center" vertical="center"/>
    </xf>
    <xf numFmtId="2" fontId="73" fillId="0" borderId="6" xfId="93" applyNumberFormat="1" applyFont="1" applyFill="1" applyBorder="1" applyAlignment="1" applyProtection="1">
      <alignment horizontal="center" vertical="center"/>
    </xf>
    <xf numFmtId="2" fontId="73" fillId="0" borderId="10" xfId="93" applyNumberFormat="1" applyFont="1" applyFill="1" applyBorder="1" applyAlignment="1" applyProtection="1">
      <alignment horizontal="center" vertical="center"/>
    </xf>
    <xf numFmtId="0" fontId="8" fillId="52" borderId="57" xfId="93" applyFont="1" applyFill="1" applyBorder="1" applyAlignment="1" applyProtection="1">
      <alignment horizontal="center" vertical="center" wrapText="1"/>
    </xf>
    <xf numFmtId="0" fontId="8" fillId="52" borderId="62" xfId="93" applyFont="1" applyFill="1" applyBorder="1" applyAlignment="1" applyProtection="1">
      <alignment horizontal="center" vertical="center" wrapText="1"/>
    </xf>
    <xf numFmtId="0" fontId="53" fillId="55" borderId="19" xfId="93" applyFont="1" applyFill="1" applyBorder="1" applyAlignment="1" applyProtection="1">
      <alignment horizontal="center" vertical="center" wrapText="1"/>
    </xf>
    <xf numFmtId="1" fontId="53" fillId="55" borderId="14" xfId="93" applyNumberFormat="1" applyFont="1" applyFill="1" applyBorder="1" applyAlignment="1" applyProtection="1">
      <alignment horizontal="center" vertical="center" wrapText="1"/>
    </xf>
    <xf numFmtId="1" fontId="53" fillId="55" borderId="5" xfId="93" applyNumberFormat="1" applyFont="1" applyFill="1" applyBorder="1" applyAlignment="1" applyProtection="1">
      <alignment horizontal="center" vertical="center" wrapText="1"/>
    </xf>
    <xf numFmtId="0" fontId="53" fillId="55" borderId="14" xfId="93" applyFont="1" applyFill="1" applyBorder="1" applyAlignment="1" applyProtection="1">
      <alignment horizontal="center" vertical="center" wrapText="1"/>
    </xf>
    <xf numFmtId="0" fontId="53" fillId="55" borderId="5" xfId="93" applyFont="1" applyFill="1" applyBorder="1" applyAlignment="1" applyProtection="1">
      <alignment horizontal="center" vertical="center" wrapText="1"/>
    </xf>
    <xf numFmtId="2" fontId="53" fillId="55" borderId="14" xfId="93" applyNumberFormat="1" applyFont="1" applyFill="1" applyBorder="1" applyAlignment="1" applyProtection="1">
      <alignment horizontal="center" vertical="center" wrapText="1"/>
    </xf>
    <xf numFmtId="2" fontId="53" fillId="55" borderId="5" xfId="93" applyNumberFormat="1" applyFont="1" applyFill="1" applyBorder="1" applyAlignment="1" applyProtection="1">
      <alignment horizontal="center" vertical="center" wrapText="1"/>
    </xf>
    <xf numFmtId="2" fontId="53" fillId="55" borderId="11" xfId="93" applyNumberFormat="1" applyFont="1" applyFill="1" applyBorder="1" applyAlignment="1" applyProtection="1">
      <alignment horizontal="center" vertical="center" wrapText="1"/>
    </xf>
    <xf numFmtId="0" fontId="53" fillId="55" borderId="57" xfId="93" applyFont="1" applyFill="1" applyBorder="1" applyAlignment="1" applyProtection="1">
      <alignment horizontal="center" vertical="center" wrapText="1"/>
    </xf>
    <xf numFmtId="0" fontId="53" fillId="55" borderId="62" xfId="93" applyFont="1" applyFill="1" applyBorder="1" applyAlignment="1" applyProtection="1">
      <alignment horizontal="center" vertical="center" wrapText="1"/>
    </xf>
    <xf numFmtId="0" fontId="8" fillId="52" borderId="21" xfId="93" applyFont="1" applyFill="1" applyBorder="1" applyAlignment="1" applyProtection="1">
      <alignment horizontal="center" vertical="center" wrapText="1"/>
    </xf>
    <xf numFmtId="0" fontId="8" fillId="52" borderId="20" xfId="93" applyFont="1" applyFill="1" applyBorder="1" applyAlignment="1" applyProtection="1">
      <alignment horizontal="center" vertical="center" wrapText="1"/>
    </xf>
    <xf numFmtId="1" fontId="8" fillId="52" borderId="11" xfId="93" applyNumberFormat="1" applyFont="1" applyFill="1" applyBorder="1" applyAlignment="1" applyProtection="1">
      <alignment horizontal="center" vertical="center" wrapText="1"/>
    </xf>
    <xf numFmtId="1" fontId="8" fillId="52" borderId="5" xfId="93" applyNumberFormat="1" applyFont="1" applyFill="1" applyBorder="1" applyAlignment="1" applyProtection="1">
      <alignment horizontal="center" vertical="center" wrapText="1"/>
    </xf>
    <xf numFmtId="0" fontId="8" fillId="52" borderId="11" xfId="93" applyFont="1" applyFill="1" applyBorder="1" applyAlignment="1" applyProtection="1">
      <alignment horizontal="center" vertical="center" wrapText="1"/>
    </xf>
    <xf numFmtId="0" fontId="8" fillId="52" borderId="5" xfId="93" applyFont="1" applyFill="1" applyBorder="1" applyAlignment="1" applyProtection="1">
      <alignment horizontal="center" vertical="center" wrapText="1"/>
    </xf>
    <xf numFmtId="1" fontId="8" fillId="52" borderId="14" xfId="93" applyNumberFormat="1" applyFont="1" applyFill="1" applyBorder="1" applyAlignment="1" applyProtection="1">
      <alignment horizontal="center" vertical="center" wrapText="1"/>
    </xf>
    <xf numFmtId="0" fontId="8" fillId="52" borderId="26" xfId="93" applyFont="1" applyFill="1" applyBorder="1" applyAlignment="1" applyProtection="1">
      <alignment horizontal="center" vertical="center" wrapText="1"/>
    </xf>
    <xf numFmtId="0" fontId="8" fillId="52" borderId="27" xfId="93" applyFont="1" applyFill="1" applyBorder="1" applyAlignment="1" applyProtection="1">
      <alignment horizontal="center" vertical="center" wrapText="1"/>
    </xf>
    <xf numFmtId="1" fontId="74" fillId="0" borderId="20" xfId="93" applyNumberFormat="1" applyFont="1" applyFill="1" applyBorder="1" applyAlignment="1" applyProtection="1">
      <alignment horizontal="center" vertical="center" wrapText="1"/>
    </xf>
    <xf numFmtId="1" fontId="74" fillId="0" borderId="5" xfId="93" applyNumberFormat="1" applyFont="1" applyFill="1" applyBorder="1" applyAlignment="1" applyProtection="1">
      <alignment horizontal="center" vertical="center" wrapText="1"/>
    </xf>
    <xf numFmtId="2" fontId="73" fillId="0" borderId="62" xfId="93" applyNumberFormat="1" applyFont="1" applyFill="1" applyBorder="1" applyAlignment="1" applyProtection="1">
      <alignment horizontal="center" vertical="center"/>
    </xf>
    <xf numFmtId="2" fontId="73" fillId="0" borderId="64" xfId="93" applyNumberFormat="1" applyFont="1" applyFill="1" applyBorder="1" applyAlignment="1" applyProtection="1">
      <alignment horizontal="center" vertical="center"/>
    </xf>
    <xf numFmtId="2" fontId="73" fillId="0" borderId="27" xfId="93" applyNumberFormat="1" applyFont="1" applyFill="1" applyBorder="1" applyAlignment="1" applyProtection="1">
      <alignment horizontal="center" vertical="center"/>
    </xf>
    <xf numFmtId="2" fontId="73" fillId="0" borderId="49" xfId="93" applyNumberFormat="1" applyFont="1" applyFill="1" applyBorder="1" applyAlignment="1" applyProtection="1">
      <alignment horizontal="center" vertical="center"/>
    </xf>
    <xf numFmtId="2" fontId="73" fillId="0" borderId="50" xfId="93" applyNumberFormat="1" applyFont="1" applyFill="1" applyBorder="1" applyAlignment="1" applyProtection="1">
      <alignment horizontal="center" vertical="center"/>
    </xf>
    <xf numFmtId="2" fontId="73" fillId="0" borderId="18" xfId="93" applyNumberFormat="1" applyFont="1" applyFill="1" applyBorder="1" applyAlignment="1" applyProtection="1">
      <alignment horizontal="center" vertical="center"/>
    </xf>
    <xf numFmtId="2" fontId="73" fillId="0" borderId="46" xfId="93" applyNumberFormat="1" applyFont="1" applyFill="1" applyBorder="1" applyAlignment="1" applyProtection="1">
      <alignment horizontal="center" vertical="center"/>
    </xf>
    <xf numFmtId="2" fontId="73" fillId="0" borderId="47" xfId="93" applyNumberFormat="1" applyFont="1" applyFill="1" applyBorder="1" applyAlignment="1" applyProtection="1">
      <alignment horizontal="center" vertical="center"/>
    </xf>
    <xf numFmtId="2" fontId="73" fillId="0" borderId="48" xfId="93" applyNumberFormat="1" applyFont="1" applyFill="1" applyBorder="1" applyAlignment="1" applyProtection="1">
      <alignment horizontal="center" vertical="center"/>
    </xf>
    <xf numFmtId="0" fontId="53" fillId="0" borderId="57" xfId="93" applyFont="1" applyFill="1" applyBorder="1" applyAlignment="1" applyProtection="1">
      <alignment horizontal="center" vertical="center" wrapText="1"/>
    </xf>
    <xf numFmtId="0" fontId="53" fillId="0" borderId="58" xfId="93" applyFont="1" applyFill="1" applyBorder="1" applyAlignment="1" applyProtection="1">
      <alignment horizontal="center" vertical="center" wrapText="1"/>
    </xf>
    <xf numFmtId="0" fontId="53" fillId="0" borderId="26" xfId="93" applyFont="1" applyFill="1" applyBorder="1" applyAlignment="1" applyProtection="1">
      <alignment horizontal="center" vertical="center" wrapText="1"/>
    </xf>
    <xf numFmtId="0" fontId="53" fillId="0" borderId="59" xfId="93" applyFont="1" applyFill="1" applyBorder="1" applyAlignment="1" applyProtection="1">
      <alignment horizontal="center" vertical="center" wrapText="1"/>
    </xf>
    <xf numFmtId="0" fontId="53" fillId="0" borderId="0" xfId="93" applyFont="1" applyFill="1" applyBorder="1" applyAlignment="1" applyProtection="1">
      <alignment horizontal="center" vertical="center" wrapText="1"/>
    </xf>
    <xf numFmtId="0" fontId="53" fillId="0" borderId="54" xfId="93" applyFont="1" applyFill="1" applyBorder="1" applyAlignment="1" applyProtection="1">
      <alignment horizontal="center" vertical="center" wrapText="1"/>
    </xf>
    <xf numFmtId="0" fontId="53" fillId="0" borderId="60" xfId="93" applyFont="1" applyFill="1" applyBorder="1" applyAlignment="1" applyProtection="1">
      <alignment horizontal="center" vertical="center" wrapText="1"/>
    </xf>
    <xf numFmtId="0" fontId="53" fillId="0" borderId="55" xfId="93" applyFont="1" applyFill="1" applyBorder="1" applyAlignment="1" applyProtection="1">
      <alignment horizontal="center" vertical="center" wrapText="1"/>
    </xf>
    <xf numFmtId="0" fontId="53" fillId="0" borderId="56" xfId="93" applyFont="1" applyFill="1" applyBorder="1" applyAlignment="1" applyProtection="1">
      <alignment horizontal="center" vertical="center" wrapText="1"/>
    </xf>
    <xf numFmtId="0" fontId="53" fillId="55" borderId="11" xfId="93" applyFont="1" applyFill="1" applyBorder="1" applyAlignment="1" applyProtection="1">
      <alignment horizontal="center" vertical="center" wrapText="1"/>
    </xf>
    <xf numFmtId="0" fontId="76" fillId="55" borderId="17" xfId="0" applyFont="1" applyFill="1" applyBorder="1" applyAlignment="1" applyProtection="1">
      <alignment horizontal="center" vertical="center" wrapText="1"/>
    </xf>
    <xf numFmtId="2" fontId="73" fillId="0" borderId="63" xfId="93" applyNumberFormat="1" applyFont="1" applyFill="1" applyBorder="1" applyAlignment="1" applyProtection="1">
      <alignment horizontal="center" vertical="center"/>
    </xf>
    <xf numFmtId="1" fontId="74" fillId="0" borderId="21" xfId="93" applyNumberFormat="1" applyFont="1" applyFill="1" applyBorder="1" applyAlignment="1" applyProtection="1">
      <alignment horizontal="center" vertical="center" wrapText="1"/>
    </xf>
    <xf numFmtId="1" fontId="74" fillId="0" borderId="11" xfId="93" applyNumberFormat="1" applyFont="1" applyFill="1" applyBorder="1" applyAlignment="1" applyProtection="1">
      <alignment horizontal="center" vertical="center" wrapText="1"/>
    </xf>
    <xf numFmtId="2" fontId="73" fillId="0" borderId="51" xfId="93" applyNumberFormat="1" applyFont="1" applyFill="1" applyBorder="1" applyAlignment="1" applyProtection="1">
      <alignment horizontal="center" vertical="center"/>
    </xf>
    <xf numFmtId="2" fontId="73" fillId="0" borderId="52" xfId="93" applyNumberFormat="1" applyFont="1" applyFill="1" applyBorder="1" applyAlignment="1" applyProtection="1">
      <alignment horizontal="center" vertical="center"/>
    </xf>
    <xf numFmtId="2" fontId="73" fillId="0" borderId="53" xfId="93" applyNumberFormat="1" applyFont="1" applyFill="1" applyBorder="1" applyAlignment="1" applyProtection="1">
      <alignment horizontal="center" vertical="center"/>
    </xf>
    <xf numFmtId="1" fontId="74" fillId="0" borderId="8" xfId="93" applyNumberFormat="1" applyFont="1" applyFill="1" applyBorder="1" applyAlignment="1" applyProtection="1">
      <alignment horizontal="center" vertical="center" wrapText="1"/>
    </xf>
    <xf numFmtId="1" fontId="74" fillId="0" borderId="9" xfId="93" applyNumberFormat="1" applyFont="1" applyFill="1" applyBorder="1" applyAlignment="1" applyProtection="1">
      <alignment horizontal="center" vertical="center" wrapText="1"/>
    </xf>
    <xf numFmtId="1" fontId="74" fillId="0" borderId="12" xfId="93" applyNumberFormat="1" applyFont="1" applyFill="1" applyBorder="1" applyAlignment="1" applyProtection="1">
      <alignment horizontal="center" vertical="center" wrapText="1"/>
    </xf>
    <xf numFmtId="2" fontId="73" fillId="0" borderId="5" xfId="93" applyNumberFormat="1" applyFont="1" applyFill="1" applyBorder="1" applyAlignment="1" applyProtection="1">
      <alignment horizontal="center" vertical="center"/>
    </xf>
    <xf numFmtId="2" fontId="73" fillId="0" borderId="26" xfId="93" applyNumberFormat="1" applyFont="1" applyFill="1" applyBorder="1" applyAlignment="1" applyProtection="1">
      <alignment horizontal="center" vertical="center"/>
    </xf>
    <xf numFmtId="2" fontId="73" fillId="0" borderId="11" xfId="93" applyNumberFormat="1" applyFont="1" applyFill="1" applyBorder="1" applyAlignment="1" applyProtection="1">
      <alignment horizontal="center" vertical="center"/>
    </xf>
    <xf numFmtId="1" fontId="8" fillId="33" borderId="6" xfId="93" applyNumberFormat="1" applyFont="1" applyFill="1" applyBorder="1" applyAlignment="1" applyProtection="1">
      <alignment horizontal="center" vertical="center" wrapText="1"/>
    </xf>
    <xf numFmtId="0" fontId="8" fillId="33" borderId="6" xfId="94" applyNumberFormat="1" applyFont="1" applyFill="1" applyBorder="1" applyAlignment="1" applyProtection="1">
      <alignment horizontal="center" vertical="center" wrapText="1"/>
    </xf>
    <xf numFmtId="165" fontId="8" fillId="33" borderId="6" xfId="96" applyNumberFormat="1" applyFont="1" applyFill="1" applyBorder="1" applyAlignment="1" applyProtection="1">
      <alignment horizontal="center" vertical="center" wrapText="1"/>
    </xf>
    <xf numFmtId="0" fontId="8" fillId="33" borderId="21" xfId="93" applyFont="1" applyFill="1" applyBorder="1" applyAlignment="1" applyProtection="1">
      <alignment horizontal="center" vertical="center" wrapText="1"/>
    </xf>
    <xf numFmtId="1" fontId="8" fillId="33" borderId="11" xfId="93" applyNumberFormat="1" applyFont="1" applyFill="1" applyBorder="1" applyAlignment="1" applyProtection="1">
      <alignment horizontal="center" vertical="center" wrapText="1"/>
    </xf>
    <xf numFmtId="0" fontId="8" fillId="33" borderId="11" xfId="93" applyFont="1" applyFill="1" applyBorder="1" applyAlignment="1" applyProtection="1">
      <alignment horizontal="center" vertical="center" wrapText="1"/>
    </xf>
    <xf numFmtId="0" fontId="8" fillId="33" borderId="11" xfId="93" applyNumberFormat="1" applyFont="1" applyFill="1" applyBorder="1" applyAlignment="1" applyProtection="1">
      <alignment horizontal="center" vertical="center" wrapText="1"/>
    </xf>
    <xf numFmtId="165" fontId="8" fillId="33" borderId="11" xfId="94" applyNumberFormat="1" applyFont="1" applyFill="1" applyBorder="1" applyAlignment="1" applyProtection="1">
      <alignment horizontal="center" vertical="center" wrapText="1"/>
    </xf>
    <xf numFmtId="0" fontId="8" fillId="33" borderId="6" xfId="93" applyFont="1" applyFill="1" applyBorder="1" applyAlignment="1" applyProtection="1">
      <alignment horizontal="center" vertical="center"/>
    </xf>
    <xf numFmtId="165" fontId="8" fillId="33" borderId="6" xfId="94" applyNumberFormat="1" applyFont="1" applyFill="1" applyBorder="1" applyAlignment="1" applyProtection="1">
      <alignment vertical="center" wrapText="1"/>
    </xf>
    <xf numFmtId="166" fontId="8" fillId="33" borderId="11" xfId="95" applyNumberFormat="1" applyFont="1" applyFill="1" applyBorder="1" applyAlignment="1" applyProtection="1">
      <alignment horizontal="center" vertical="center" wrapText="1"/>
    </xf>
    <xf numFmtId="0" fontId="8" fillId="33" borderId="20" xfId="93" applyFont="1" applyFill="1" applyBorder="1" applyAlignment="1" applyProtection="1">
      <alignment horizontal="center" vertical="center" wrapText="1"/>
    </xf>
    <xf numFmtId="0" fontId="8" fillId="33" borderId="5" xfId="93" applyFont="1" applyFill="1" applyBorder="1" applyAlignment="1" applyProtection="1">
      <alignment horizontal="center" vertical="center" wrapText="1"/>
    </xf>
    <xf numFmtId="0" fontId="8" fillId="33" borderId="5" xfId="93" applyNumberFormat="1" applyFont="1" applyFill="1" applyBorder="1" applyAlignment="1" applyProtection="1">
      <alignment horizontal="center" vertical="center" wrapText="1"/>
    </xf>
    <xf numFmtId="165" fontId="8" fillId="33" borderId="5" xfId="94" applyNumberFormat="1" applyFont="1" applyFill="1" applyBorder="1" applyAlignment="1" applyProtection="1">
      <alignment horizontal="center" vertical="center" wrapText="1"/>
    </xf>
    <xf numFmtId="165" fontId="8" fillId="33" borderId="5" xfId="94" applyNumberFormat="1" applyFont="1" applyFill="1" applyBorder="1" applyAlignment="1" applyProtection="1">
      <alignment vertical="center" wrapText="1"/>
    </xf>
    <xf numFmtId="0" fontId="8" fillId="33" borderId="20" xfId="93" applyFont="1" applyFill="1" applyBorder="1" applyAlignment="1" applyProtection="1">
      <alignment horizontal="center" vertical="center" wrapText="1"/>
    </xf>
    <xf numFmtId="1" fontId="8" fillId="33" borderId="5" xfId="93" applyNumberFormat="1" applyFont="1" applyFill="1" applyBorder="1" applyAlignment="1" applyProtection="1">
      <alignment horizontal="center" vertical="center" wrapText="1"/>
    </xf>
    <xf numFmtId="2" fontId="8" fillId="33" borderId="5" xfId="93" applyNumberFormat="1" applyFont="1" applyFill="1" applyBorder="1" applyAlignment="1" applyProtection="1">
      <alignment horizontal="center" vertical="center" wrapText="1"/>
    </xf>
    <xf numFmtId="166" fontId="8" fillId="33" borderId="6" xfId="100" applyNumberFormat="1" applyFont="1" applyFill="1" applyBorder="1" applyAlignment="1" applyProtection="1">
      <alignment horizontal="center" vertical="center" wrapText="1"/>
    </xf>
    <xf numFmtId="165" fontId="8" fillId="33" borderId="5" xfId="96" applyNumberFormat="1" applyFont="1" applyFill="1" applyBorder="1" applyAlignment="1" applyProtection="1">
      <alignment horizontal="center" vertical="center" wrapText="1"/>
    </xf>
    <xf numFmtId="165" fontId="8" fillId="33" borderId="6" xfId="101" applyNumberFormat="1" applyFont="1" applyFill="1" applyBorder="1" applyAlignment="1" applyProtection="1">
      <alignment horizontal="left" vertical="center" wrapText="1"/>
    </xf>
    <xf numFmtId="0" fontId="8" fillId="33" borderId="62" xfId="93" applyFont="1" applyFill="1" applyBorder="1" applyAlignment="1" applyProtection="1">
      <alignment horizontal="center" vertical="center" wrapText="1"/>
    </xf>
    <xf numFmtId="0" fontId="8" fillId="33" borderId="66" xfId="93" applyFont="1" applyFill="1" applyBorder="1" applyAlignment="1" applyProtection="1">
      <alignment horizontal="center" vertical="center" wrapText="1"/>
    </xf>
    <xf numFmtId="0" fontId="8" fillId="33" borderId="5" xfId="93" quotePrefix="1" applyNumberFormat="1" applyFont="1" applyFill="1" applyBorder="1" applyAlignment="1" applyProtection="1">
      <alignment horizontal="center" vertical="center" wrapText="1"/>
    </xf>
    <xf numFmtId="10" fontId="8" fillId="33" borderId="5" xfId="95" applyNumberFormat="1" applyFont="1" applyFill="1" applyBorder="1" applyAlignment="1" applyProtection="1">
      <alignment horizontal="center" vertical="center" wrapText="1"/>
    </xf>
    <xf numFmtId="165" fontId="8" fillId="33" borderId="5" xfId="93" applyNumberFormat="1" applyFont="1" applyFill="1" applyBorder="1" applyAlignment="1" applyProtection="1">
      <alignment horizontal="center" vertical="center" wrapText="1"/>
    </xf>
    <xf numFmtId="0" fontId="8" fillId="33" borderId="10" xfId="93" applyFont="1" applyFill="1" applyBorder="1" applyAlignment="1" applyProtection="1">
      <alignment horizontal="center" vertical="center" wrapText="1"/>
    </xf>
    <xf numFmtId="2" fontId="8" fillId="33" borderId="10" xfId="93" applyNumberFormat="1" applyFont="1" applyFill="1" applyBorder="1" applyAlignment="1" applyProtection="1">
      <alignment horizontal="center" vertical="center" wrapText="1"/>
    </xf>
    <xf numFmtId="0" fontId="8" fillId="33" borderId="10" xfId="93" quotePrefix="1" applyNumberFormat="1" applyFont="1" applyFill="1" applyBorder="1" applyAlignment="1" applyProtection="1">
      <alignment horizontal="center" vertical="center" wrapText="1"/>
    </xf>
    <xf numFmtId="1" fontId="28" fillId="33" borderId="0" xfId="93" applyNumberFormat="1" applyFont="1" applyFill="1" applyAlignment="1" applyProtection="1">
      <alignment horizontal="center"/>
    </xf>
    <xf numFmtId="0" fontId="28" fillId="33" borderId="0" xfId="93" applyFont="1" applyFill="1" applyProtection="1"/>
    <xf numFmtId="170" fontId="28" fillId="33" borderId="0" xfId="93" applyNumberFormat="1" applyFont="1" applyFill="1" applyProtection="1"/>
    <xf numFmtId="1" fontId="8" fillId="33" borderId="0" xfId="93" applyNumberFormat="1" applyFont="1" applyFill="1" applyAlignment="1" applyProtection="1">
      <alignment horizontal="center"/>
    </xf>
    <xf numFmtId="0" fontId="80" fillId="33" borderId="0" xfId="93" applyFont="1" applyFill="1" applyAlignment="1" applyProtection="1">
      <alignment horizontal="center"/>
    </xf>
    <xf numFmtId="0" fontId="80" fillId="33" borderId="0" xfId="93" applyFont="1" applyFill="1" applyAlignment="1" applyProtection="1">
      <alignment horizontal="center"/>
    </xf>
    <xf numFmtId="0" fontId="79" fillId="33" borderId="0" xfId="93" applyFont="1" applyFill="1" applyAlignment="1" applyProtection="1">
      <alignment horizontal="center" wrapText="1"/>
    </xf>
    <xf numFmtId="0" fontId="79" fillId="33" borderId="0" xfId="93" applyFont="1" applyFill="1" applyAlignment="1" applyProtection="1">
      <alignment horizontal="center" wrapText="1"/>
    </xf>
    <xf numFmtId="0" fontId="8" fillId="33" borderId="0" xfId="93" applyFont="1" applyFill="1" applyAlignment="1" applyProtection="1">
      <alignment horizontal="center"/>
    </xf>
    <xf numFmtId="0" fontId="8" fillId="33" borderId="0" xfId="93" applyNumberFormat="1" applyFont="1" applyFill="1" applyAlignment="1" applyProtection="1">
      <alignment horizontal="center"/>
    </xf>
    <xf numFmtId="10" fontId="8" fillId="33" borderId="0" xfId="95" applyNumberFormat="1" applyFont="1" applyFill="1" applyAlignment="1" applyProtection="1">
      <alignment horizontal="center"/>
    </xf>
    <xf numFmtId="0" fontId="8" fillId="33" borderId="0" xfId="93" applyFont="1" applyFill="1" applyAlignment="1" applyProtection="1">
      <alignment horizontal="centerContinuous"/>
    </xf>
    <xf numFmtId="0" fontId="9" fillId="33" borderId="2" xfId="93" applyFont="1" applyFill="1" applyBorder="1" applyAlignment="1" applyProtection="1">
      <alignment horizontal="center" vertical="center" wrapText="1"/>
    </xf>
    <xf numFmtId="0" fontId="9" fillId="33" borderId="3" xfId="93" applyFont="1" applyFill="1" applyBorder="1" applyAlignment="1" applyProtection="1">
      <alignment horizontal="center" vertical="center" wrapText="1"/>
    </xf>
    <xf numFmtId="10" fontId="9" fillId="33" borderId="3" xfId="95" applyNumberFormat="1" applyFont="1" applyFill="1" applyBorder="1" applyAlignment="1" applyProtection="1">
      <alignment horizontal="center" vertical="center" wrapText="1"/>
    </xf>
    <xf numFmtId="0" fontId="9" fillId="33" borderId="67" xfId="93" applyFont="1" applyFill="1" applyBorder="1" applyAlignment="1" applyProtection="1">
      <alignment horizontal="center" vertical="center" wrapText="1"/>
    </xf>
    <xf numFmtId="43" fontId="9" fillId="33" borderId="0" xfId="93" applyNumberFormat="1" applyFont="1" applyFill="1" applyAlignment="1" applyProtection="1"/>
    <xf numFmtId="0" fontId="8" fillId="33" borderId="19" xfId="93" applyFont="1" applyFill="1" applyBorder="1" applyAlignment="1" applyProtection="1">
      <alignment horizontal="center" vertical="center" wrapText="1"/>
    </xf>
    <xf numFmtId="0" fontId="8" fillId="33" borderId="5" xfId="93" applyFont="1" applyFill="1" applyBorder="1" applyAlignment="1" applyProtection="1">
      <alignment vertical="center" wrapText="1"/>
    </xf>
    <xf numFmtId="0" fontId="7" fillId="33" borderId="0" xfId="0" applyFont="1" applyFill="1" applyBorder="1" applyAlignment="1">
      <alignment horizontal="center" vertical="center" wrapText="1"/>
    </xf>
    <xf numFmtId="0" fontId="7" fillId="33" borderId="5" xfId="0" applyFont="1" applyFill="1" applyBorder="1" applyAlignment="1">
      <alignment horizontal="center" vertical="center" wrapText="1"/>
    </xf>
    <xf numFmtId="0" fontId="8" fillId="33" borderId="5" xfId="93" applyFont="1" applyFill="1" applyBorder="1" applyAlignment="1" applyProtection="1">
      <alignment horizontal="center" vertical="center"/>
    </xf>
    <xf numFmtId="10" fontId="8" fillId="33" borderId="5" xfId="93" applyNumberFormat="1" applyFont="1" applyFill="1" applyBorder="1" applyAlignment="1" applyProtection="1">
      <alignment horizontal="center" vertical="center" wrapText="1"/>
    </xf>
    <xf numFmtId="0" fontId="8" fillId="33" borderId="6" xfId="93" applyFont="1" applyFill="1" applyBorder="1" applyAlignment="1" applyProtection="1">
      <alignment vertical="center" wrapText="1"/>
    </xf>
    <xf numFmtId="0" fontId="7" fillId="33" borderId="6" xfId="0" applyFont="1" applyFill="1" applyBorder="1" applyAlignment="1">
      <alignment horizontal="center" vertical="center" wrapText="1"/>
    </xf>
    <xf numFmtId="9" fontId="8" fillId="33" borderId="6" xfId="93" applyNumberFormat="1" applyFont="1" applyFill="1" applyBorder="1" applyAlignment="1" applyProtection="1">
      <alignment horizontal="center" vertical="center" wrapText="1"/>
    </xf>
    <xf numFmtId="0" fontId="7" fillId="33" borderId="6" xfId="0" applyFont="1" applyFill="1" applyBorder="1" applyAlignment="1">
      <alignment horizontal="center" vertical="center" wrapText="1"/>
    </xf>
    <xf numFmtId="0" fontId="8" fillId="33" borderId="6" xfId="93" applyNumberFormat="1" applyFont="1" applyFill="1" applyBorder="1" applyAlignment="1" applyProtection="1">
      <alignment horizontal="center" vertical="center" wrapText="1"/>
    </xf>
    <xf numFmtId="0" fontId="8" fillId="33" borderId="11" xfId="93" applyFont="1" applyFill="1" applyBorder="1" applyAlignment="1" applyProtection="1">
      <alignment horizontal="center" vertical="center" wrapText="1"/>
    </xf>
    <xf numFmtId="0" fontId="7" fillId="33" borderId="11" xfId="0" applyFont="1" applyFill="1" applyBorder="1" applyAlignment="1">
      <alignment horizontal="center" vertical="center" wrapText="1"/>
    </xf>
    <xf numFmtId="2" fontId="8" fillId="33" borderId="11" xfId="93" applyNumberFormat="1" applyFont="1" applyFill="1" applyBorder="1" applyAlignment="1" applyProtection="1">
      <alignment horizontal="center" vertical="center" wrapText="1"/>
    </xf>
    <xf numFmtId="10" fontId="8" fillId="33" borderId="11" xfId="95" applyNumberFormat="1" applyFont="1" applyFill="1" applyBorder="1" applyAlignment="1" applyProtection="1">
      <alignment horizontal="center" vertical="center" wrapText="1"/>
    </xf>
    <xf numFmtId="2" fontId="8" fillId="33" borderId="5" xfId="93" applyNumberFormat="1" applyFont="1" applyFill="1" applyBorder="1" applyAlignment="1" applyProtection="1">
      <alignment horizontal="center" vertical="center" wrapText="1"/>
    </xf>
    <xf numFmtId="9" fontId="8" fillId="33" borderId="11" xfId="93" applyNumberFormat="1" applyFont="1" applyFill="1" applyBorder="1" applyAlignment="1" applyProtection="1">
      <alignment horizontal="center" vertical="center" wrapText="1"/>
    </xf>
    <xf numFmtId="165" fontId="8" fillId="33" borderId="6" xfId="94" applyNumberFormat="1" applyFont="1" applyFill="1" applyBorder="1" applyAlignment="1" applyProtection="1">
      <alignment vertical="center"/>
    </xf>
    <xf numFmtId="0" fontId="8" fillId="33" borderId="14" xfId="93" applyFont="1" applyFill="1" applyBorder="1" applyAlignment="1" applyProtection="1">
      <alignment horizontal="center" vertical="center" wrapText="1"/>
    </xf>
    <xf numFmtId="2" fontId="8" fillId="33" borderId="14" xfId="93" applyNumberFormat="1" applyFont="1" applyFill="1" applyBorder="1" applyAlignment="1" applyProtection="1">
      <alignment horizontal="center" vertical="center" wrapText="1"/>
    </xf>
    <xf numFmtId="0" fontId="8" fillId="33" borderId="6" xfId="93" applyFont="1" applyFill="1" applyBorder="1" applyProtection="1"/>
    <xf numFmtId="0" fontId="8" fillId="33" borderId="19" xfId="93" applyFont="1" applyFill="1" applyBorder="1" applyAlignment="1" applyProtection="1">
      <alignment horizontal="center" vertical="center" wrapText="1"/>
    </xf>
    <xf numFmtId="0" fontId="8" fillId="33" borderId="14" xfId="93" applyNumberFormat="1" applyFont="1" applyFill="1" applyBorder="1" applyAlignment="1" applyProtection="1">
      <alignment horizontal="center" vertical="center" wrapText="1"/>
    </xf>
    <xf numFmtId="166" fontId="8" fillId="33" borderId="6" xfId="95" applyNumberFormat="1" applyFont="1" applyFill="1" applyBorder="1" applyAlignment="1" applyProtection="1">
      <alignment horizontal="center" vertical="center" wrapText="1"/>
    </xf>
    <xf numFmtId="1" fontId="8" fillId="33" borderId="11" xfId="93" applyNumberFormat="1" applyFont="1" applyFill="1" applyBorder="1" applyAlignment="1" applyProtection="1">
      <alignment horizontal="center" vertical="center" wrapText="1"/>
    </xf>
    <xf numFmtId="1" fontId="8" fillId="33" borderId="5" xfId="93" applyNumberFormat="1" applyFont="1" applyFill="1" applyBorder="1" applyAlignment="1" applyProtection="1">
      <alignment horizontal="center" vertical="center" wrapText="1"/>
    </xf>
    <xf numFmtId="43" fontId="8" fillId="33" borderId="6" xfId="94" applyFont="1" applyFill="1" applyBorder="1" applyAlignment="1" applyProtection="1">
      <alignment horizontal="center" vertical="center" wrapText="1"/>
    </xf>
    <xf numFmtId="165" fontId="8" fillId="33" borderId="6" xfId="97" applyNumberFormat="1" applyFont="1" applyFill="1" applyBorder="1" applyAlignment="1" applyProtection="1">
      <alignment horizontal="center" vertical="center" wrapText="1"/>
    </xf>
    <xf numFmtId="10" fontId="8" fillId="33" borderId="6" xfId="93" applyNumberFormat="1" applyFont="1" applyFill="1" applyBorder="1" applyAlignment="1" applyProtection="1">
      <alignment horizontal="center" vertical="center" wrapText="1"/>
    </xf>
    <xf numFmtId="165" fontId="8" fillId="33" borderId="6" xfId="94" applyNumberFormat="1" applyFont="1" applyFill="1" applyBorder="1" applyAlignment="1" applyProtection="1">
      <alignment horizontal="center" vertical="center"/>
    </xf>
    <xf numFmtId="0" fontId="8" fillId="33" borderId="11" xfId="94" applyNumberFormat="1" applyFont="1" applyFill="1" applyBorder="1" applyAlignment="1" applyProtection="1">
      <alignment horizontal="center" vertical="center" wrapText="1"/>
    </xf>
    <xf numFmtId="172" fontId="8" fillId="33" borderId="6" xfId="95" applyNumberFormat="1" applyFont="1" applyFill="1" applyBorder="1" applyAlignment="1" applyProtection="1">
      <alignment horizontal="center" vertical="center" wrapText="1"/>
    </xf>
    <xf numFmtId="0" fontId="8" fillId="33" borderId="5" xfId="94" applyNumberFormat="1" applyFont="1" applyFill="1" applyBorder="1" applyAlignment="1" applyProtection="1">
      <alignment horizontal="center" vertical="center" wrapText="1"/>
    </xf>
    <xf numFmtId="0" fontId="8" fillId="33" borderId="21" xfId="93" applyFont="1" applyFill="1" applyBorder="1" applyAlignment="1" applyProtection="1">
      <alignment horizontal="center" vertical="center" wrapText="1"/>
    </xf>
    <xf numFmtId="172" fontId="8" fillId="33" borderId="11" xfId="95" applyNumberFormat="1" applyFont="1" applyFill="1" applyBorder="1" applyAlignment="1" applyProtection="1">
      <alignment horizontal="center" vertical="center" wrapText="1"/>
    </xf>
    <xf numFmtId="0" fontId="8" fillId="33" borderId="5" xfId="93" applyNumberFormat="1" applyFont="1" applyFill="1" applyBorder="1" applyAlignment="1" applyProtection="1">
      <alignment horizontal="center" vertical="center" wrapText="1"/>
    </xf>
    <xf numFmtId="165" fontId="8" fillId="33" borderId="14" xfId="93" applyNumberFormat="1" applyFont="1" applyFill="1" applyBorder="1" applyAlignment="1" applyProtection="1">
      <alignment horizontal="center" vertical="center" wrapText="1"/>
    </xf>
    <xf numFmtId="0" fontId="8" fillId="33" borderId="14" xfId="93" applyFont="1" applyFill="1" applyBorder="1" applyAlignment="1" applyProtection="1">
      <alignment horizontal="center" vertical="center" wrapText="1"/>
    </xf>
    <xf numFmtId="2" fontId="8" fillId="33" borderId="17" xfId="93" applyNumberFormat="1" applyFont="1" applyFill="1" applyBorder="1" applyAlignment="1" applyProtection="1">
      <alignment horizontal="center" vertical="center" wrapText="1"/>
    </xf>
    <xf numFmtId="165" fontId="8" fillId="33" borderId="14" xfId="94" applyNumberFormat="1" applyFont="1" applyFill="1" applyBorder="1" applyAlignment="1" applyProtection="1">
      <alignment horizontal="center" vertical="center" wrapText="1"/>
    </xf>
    <xf numFmtId="0" fontId="8" fillId="33" borderId="14" xfId="93" applyFont="1" applyFill="1" applyBorder="1" applyAlignment="1" applyProtection="1">
      <alignment horizontal="center" vertical="center"/>
    </xf>
    <xf numFmtId="165" fontId="8" fillId="33" borderId="14" xfId="94" applyNumberFormat="1" applyFont="1" applyFill="1" applyBorder="1" applyAlignment="1" applyProtection="1">
      <alignment vertical="center" wrapText="1"/>
    </xf>
    <xf numFmtId="10" fontId="8" fillId="33" borderId="10" xfId="95" applyNumberFormat="1" applyFont="1" applyFill="1" applyBorder="1" applyAlignment="1" applyProtection="1">
      <alignment horizontal="center" vertical="center" wrapText="1"/>
    </xf>
    <xf numFmtId="165" fontId="8" fillId="33" borderId="11" xfId="93" applyNumberFormat="1" applyFont="1" applyFill="1" applyBorder="1" applyAlignment="1" applyProtection="1">
      <alignment horizontal="center" vertical="center" wrapText="1"/>
    </xf>
    <xf numFmtId="0" fontId="8" fillId="33" borderId="65" xfId="93" applyFont="1" applyFill="1" applyBorder="1" applyAlignment="1" applyProtection="1">
      <alignment horizontal="center" vertical="center" wrapText="1"/>
    </xf>
    <xf numFmtId="1" fontId="81" fillId="33" borderId="70" xfId="93" applyNumberFormat="1" applyFont="1" applyFill="1" applyBorder="1" applyAlignment="1" applyProtection="1">
      <alignment horizontal="center" vertical="center" wrapText="1"/>
    </xf>
    <xf numFmtId="1" fontId="81" fillId="33" borderId="68" xfId="93" applyNumberFormat="1" applyFont="1" applyFill="1" applyBorder="1" applyAlignment="1" applyProtection="1">
      <alignment horizontal="center" vertical="center" wrapText="1"/>
    </xf>
    <xf numFmtId="1" fontId="81" fillId="33" borderId="69" xfId="93" applyNumberFormat="1" applyFont="1" applyFill="1" applyBorder="1" applyAlignment="1" applyProtection="1">
      <alignment horizontal="center" vertical="center" wrapText="1"/>
    </xf>
    <xf numFmtId="2" fontId="9" fillId="33" borderId="7" xfId="93" applyNumberFormat="1" applyFont="1" applyFill="1" applyBorder="1" applyAlignment="1" applyProtection="1">
      <alignment vertical="center"/>
    </xf>
    <xf numFmtId="165" fontId="9" fillId="33" borderId="13" xfId="94" applyNumberFormat="1" applyFont="1" applyFill="1" applyBorder="1" applyAlignment="1" applyProtection="1">
      <alignment vertical="center"/>
    </xf>
    <xf numFmtId="165" fontId="9" fillId="33" borderId="51" xfId="94" applyNumberFormat="1" applyFont="1" applyFill="1" applyBorder="1" applyAlignment="1" applyProtection="1">
      <alignment vertical="center"/>
    </xf>
    <xf numFmtId="165" fontId="9" fillId="33" borderId="66" xfId="94" applyNumberFormat="1" applyFont="1" applyFill="1" applyBorder="1" applyAlignment="1" applyProtection="1">
      <alignment vertical="center"/>
    </xf>
    <xf numFmtId="0" fontId="8" fillId="33" borderId="0" xfId="93" applyFont="1" applyFill="1" applyBorder="1" applyProtection="1"/>
    <xf numFmtId="1" fontId="81" fillId="33" borderId="71" xfId="93" applyNumberFormat="1" applyFont="1" applyFill="1" applyBorder="1" applyAlignment="1" applyProtection="1">
      <alignment horizontal="center" vertical="center" wrapText="1"/>
    </xf>
    <xf numFmtId="1" fontId="81" fillId="33" borderId="0" xfId="93" applyNumberFormat="1" applyFont="1" applyFill="1" applyBorder="1" applyAlignment="1" applyProtection="1">
      <alignment horizontal="center" vertical="center" wrapText="1"/>
    </xf>
    <xf numFmtId="1" fontId="81" fillId="33" borderId="54" xfId="93" applyNumberFormat="1" applyFont="1" applyFill="1" applyBorder="1" applyAlignment="1" applyProtection="1">
      <alignment horizontal="center" vertical="center" wrapText="1"/>
    </xf>
    <xf numFmtId="2" fontId="9" fillId="33" borderId="6" xfId="93" applyNumberFormat="1" applyFont="1" applyFill="1" applyBorder="1" applyAlignment="1" applyProtection="1">
      <alignment vertical="center"/>
    </xf>
    <xf numFmtId="165" fontId="9" fillId="33" borderId="6" xfId="94" applyNumberFormat="1" applyFont="1" applyFill="1" applyBorder="1" applyAlignment="1" applyProtection="1">
      <alignment vertical="center"/>
    </xf>
    <xf numFmtId="165" fontId="9" fillId="33" borderId="49" xfId="94" applyNumberFormat="1" applyFont="1" applyFill="1" applyBorder="1" applyAlignment="1" applyProtection="1">
      <alignment vertical="center"/>
    </xf>
    <xf numFmtId="165" fontId="9" fillId="33" borderId="9" xfId="94" applyNumberFormat="1" applyFont="1" applyFill="1" applyBorder="1" applyAlignment="1" applyProtection="1">
      <alignment vertical="center"/>
    </xf>
    <xf numFmtId="2" fontId="9" fillId="33" borderId="11" xfId="93" applyNumberFormat="1" applyFont="1" applyFill="1" applyBorder="1" applyAlignment="1" applyProtection="1">
      <alignment vertical="center"/>
    </xf>
    <xf numFmtId="165" fontId="9" fillId="33" borderId="14" xfId="94" applyNumberFormat="1" applyFont="1" applyFill="1" applyBorder="1" applyAlignment="1" applyProtection="1">
      <alignment vertical="center"/>
    </xf>
    <xf numFmtId="165" fontId="9" fillId="33" borderId="57" xfId="94" applyNumberFormat="1" applyFont="1" applyFill="1" applyBorder="1" applyAlignment="1" applyProtection="1">
      <alignment vertical="center"/>
    </xf>
    <xf numFmtId="165" fontId="9" fillId="33" borderId="12" xfId="94" applyNumberFormat="1" applyFont="1" applyFill="1" applyBorder="1" applyAlignment="1" applyProtection="1">
      <alignment vertical="center"/>
    </xf>
    <xf numFmtId="1" fontId="81" fillId="33" borderId="72" xfId="93" applyNumberFormat="1" applyFont="1" applyFill="1" applyBorder="1" applyAlignment="1" applyProtection="1">
      <alignment horizontal="center" vertical="center" wrapText="1"/>
    </xf>
    <xf numFmtId="1" fontId="81" fillId="33" borderId="55" xfId="93" applyNumberFormat="1" applyFont="1" applyFill="1" applyBorder="1" applyAlignment="1" applyProtection="1">
      <alignment horizontal="center" vertical="center" wrapText="1"/>
    </xf>
    <xf numFmtId="1" fontId="81" fillId="33" borderId="56" xfId="93" applyNumberFormat="1" applyFont="1" applyFill="1" applyBorder="1" applyAlignment="1" applyProtection="1">
      <alignment horizontal="center" vertical="center" wrapText="1"/>
    </xf>
    <xf numFmtId="2" fontId="9" fillId="33" borderId="10" xfId="93" applyNumberFormat="1" applyFont="1" applyFill="1" applyBorder="1" applyAlignment="1" applyProtection="1">
      <alignment vertical="center"/>
    </xf>
    <xf numFmtId="2" fontId="9" fillId="33" borderId="47" xfId="93" applyNumberFormat="1" applyFont="1" applyFill="1" applyBorder="1" applyAlignment="1" applyProtection="1">
      <alignment vertical="center"/>
    </xf>
    <xf numFmtId="2" fontId="9" fillId="33" borderId="48" xfId="93" applyNumberFormat="1" applyFont="1" applyFill="1" applyBorder="1" applyAlignment="1" applyProtection="1">
      <alignment vertical="center"/>
    </xf>
    <xf numFmtId="2" fontId="9" fillId="33" borderId="46" xfId="93" applyNumberFormat="1" applyFont="1" applyFill="1" applyBorder="1" applyAlignment="1" applyProtection="1">
      <alignment vertical="center"/>
    </xf>
    <xf numFmtId="165" fontId="9" fillId="33" borderId="10" xfId="94" applyNumberFormat="1" applyFont="1" applyFill="1" applyBorder="1" applyAlignment="1" applyProtection="1">
      <alignment vertical="center"/>
    </xf>
    <xf numFmtId="165" fontId="9" fillId="33" borderId="46" xfId="94" applyNumberFormat="1" applyFont="1" applyFill="1" applyBorder="1" applyAlignment="1" applyProtection="1">
      <alignment vertical="center"/>
    </xf>
    <xf numFmtId="165" fontId="9" fillId="33" borderId="65" xfId="94" applyNumberFormat="1" applyFont="1" applyFill="1" applyBorder="1" applyAlignment="1" applyProtection="1">
      <alignment vertical="center"/>
    </xf>
    <xf numFmtId="2" fontId="8" fillId="33" borderId="11" xfId="93" applyNumberFormat="1" applyFont="1" applyFill="1" applyBorder="1" applyAlignment="1" applyProtection="1">
      <alignment horizontal="center" vertical="center" wrapText="1"/>
    </xf>
    <xf numFmtId="0" fontId="8" fillId="33" borderId="11" xfId="93" applyNumberFormat="1" applyFont="1" applyFill="1" applyBorder="1" applyAlignment="1" applyProtection="1">
      <alignment horizontal="center" vertical="center" wrapText="1"/>
    </xf>
    <xf numFmtId="0" fontId="8" fillId="33" borderId="11" xfId="93" applyFont="1" applyFill="1" applyBorder="1" applyAlignment="1" applyProtection="1">
      <alignment horizontal="center" vertical="center"/>
    </xf>
    <xf numFmtId="165" fontId="8" fillId="33" borderId="11" xfId="94" applyNumberFormat="1" applyFont="1" applyFill="1" applyBorder="1" applyAlignment="1" applyProtection="1">
      <alignment horizontal="center" vertical="center" wrapText="1"/>
    </xf>
    <xf numFmtId="167" fontId="8" fillId="33" borderId="11" xfId="95" applyNumberFormat="1" applyFont="1" applyFill="1" applyBorder="1" applyAlignment="1" applyProtection="1">
      <alignment horizontal="center" vertical="center" wrapText="1"/>
    </xf>
    <xf numFmtId="0" fontId="8" fillId="33" borderId="61" xfId="93" applyFont="1" applyFill="1" applyBorder="1" applyAlignment="1" applyProtection="1">
      <alignment horizontal="center" vertical="center" wrapText="1"/>
    </xf>
    <xf numFmtId="0" fontId="8" fillId="33" borderId="17" xfId="93" applyFont="1" applyFill="1" applyBorder="1" applyAlignment="1" applyProtection="1">
      <alignment horizontal="center" vertical="center" wrapText="1"/>
    </xf>
    <xf numFmtId="0" fontId="8" fillId="33" borderId="74" xfId="93" applyFont="1" applyFill="1" applyBorder="1" applyAlignment="1" applyProtection="1">
      <alignment horizontal="center" vertical="center" wrapText="1"/>
    </xf>
    <xf numFmtId="0" fontId="8" fillId="33" borderId="7" xfId="93" applyFont="1" applyFill="1" applyBorder="1" applyProtection="1"/>
    <xf numFmtId="165" fontId="9" fillId="33" borderId="7" xfId="94" applyNumberFormat="1" applyFont="1" applyFill="1" applyBorder="1" applyAlignment="1" applyProtection="1">
      <alignment vertical="center"/>
    </xf>
    <xf numFmtId="0" fontId="8" fillId="33" borderId="10" xfId="93" applyFont="1" applyFill="1" applyBorder="1" applyProtection="1"/>
    <xf numFmtId="1" fontId="8" fillId="33" borderId="49" xfId="93" applyNumberFormat="1" applyFont="1" applyFill="1" applyBorder="1" applyAlignment="1" applyProtection="1">
      <alignment horizontal="center" vertical="center" wrapText="1"/>
    </xf>
    <xf numFmtId="1" fontId="8" fillId="33" borderId="9" xfId="93" applyNumberFormat="1" applyFont="1" applyFill="1" applyBorder="1" applyAlignment="1" applyProtection="1">
      <alignment horizontal="center" vertical="center" wrapText="1"/>
    </xf>
    <xf numFmtId="9" fontId="8" fillId="33" borderId="6" xfId="100" applyFont="1" applyFill="1" applyBorder="1" applyAlignment="1" applyProtection="1">
      <alignment horizontal="center" vertical="center" wrapText="1"/>
    </xf>
    <xf numFmtId="0" fontId="8" fillId="33" borderId="25" xfId="93" applyFont="1" applyFill="1" applyBorder="1" applyAlignment="1" applyProtection="1">
      <alignment horizontal="center" vertical="center" wrapText="1"/>
    </xf>
    <xf numFmtId="1" fontId="8" fillId="33" borderId="10" xfId="93" applyNumberFormat="1" applyFont="1" applyFill="1" applyBorder="1" applyAlignment="1" applyProtection="1">
      <alignment horizontal="center" vertical="center" wrapText="1"/>
    </xf>
    <xf numFmtId="165" fontId="8" fillId="33" borderId="10" xfId="101" applyNumberFormat="1" applyFont="1" applyFill="1" applyBorder="1" applyAlignment="1" applyProtection="1">
      <alignment horizontal="left" vertical="center" wrapText="1"/>
    </xf>
    <xf numFmtId="9" fontId="8" fillId="33" borderId="10" xfId="100" applyFont="1" applyFill="1" applyBorder="1" applyAlignment="1" applyProtection="1">
      <alignment horizontal="center" vertical="center" wrapText="1"/>
    </xf>
    <xf numFmtId="165" fontId="8" fillId="33" borderId="10" xfId="94" applyNumberFormat="1" applyFont="1" applyFill="1" applyBorder="1" applyAlignment="1" applyProtection="1">
      <alignment horizontal="center" vertical="center" wrapText="1"/>
    </xf>
    <xf numFmtId="165" fontId="8" fillId="33" borderId="10" xfId="93" applyNumberFormat="1" applyFont="1" applyFill="1" applyBorder="1" applyAlignment="1" applyProtection="1">
      <alignment horizontal="center" vertical="center" wrapText="1"/>
    </xf>
    <xf numFmtId="1" fontId="8" fillId="33" borderId="46" xfId="93" applyNumberFormat="1" applyFont="1" applyFill="1" applyBorder="1" applyAlignment="1" applyProtection="1">
      <alignment horizontal="center" vertical="center" wrapText="1"/>
    </xf>
    <xf numFmtId="1" fontId="8" fillId="33" borderId="65" xfId="93" applyNumberFormat="1" applyFont="1" applyFill="1" applyBorder="1" applyAlignment="1" applyProtection="1">
      <alignment horizontal="center" vertical="center" wrapText="1"/>
    </xf>
    <xf numFmtId="0" fontId="8" fillId="33" borderId="5" xfId="93" applyFont="1" applyFill="1" applyBorder="1" applyProtection="1"/>
    <xf numFmtId="2" fontId="9" fillId="33" borderId="5" xfId="93" applyNumberFormat="1" applyFont="1" applyFill="1" applyBorder="1" applyAlignment="1" applyProtection="1">
      <alignment vertical="center"/>
    </xf>
    <xf numFmtId="165" fontId="9" fillId="33" borderId="5" xfId="94" applyNumberFormat="1" applyFont="1" applyFill="1" applyBorder="1" applyAlignment="1" applyProtection="1">
      <alignment vertical="center"/>
    </xf>
    <xf numFmtId="165" fontId="9" fillId="33" borderId="62" xfId="94" applyNumberFormat="1" applyFont="1" applyFill="1" applyBorder="1" applyAlignment="1" applyProtection="1">
      <alignment vertical="center"/>
    </xf>
    <xf numFmtId="1" fontId="8" fillId="33" borderId="14" xfId="93" applyNumberFormat="1" applyFont="1" applyFill="1" applyBorder="1" applyAlignment="1" applyProtection="1">
      <alignment horizontal="center" vertical="center" wrapText="1"/>
    </xf>
    <xf numFmtId="10" fontId="8" fillId="33" borderId="11" xfId="100" applyNumberFormat="1" applyFont="1" applyFill="1" applyBorder="1" applyAlignment="1" applyProtection="1">
      <alignment horizontal="center" vertical="center" wrapText="1"/>
    </xf>
    <xf numFmtId="0" fontId="8" fillId="33" borderId="73" xfId="93" applyFont="1" applyFill="1" applyBorder="1" applyAlignment="1" applyProtection="1">
      <alignment horizontal="center" vertical="center" wrapText="1"/>
    </xf>
    <xf numFmtId="171" fontId="8" fillId="33" borderId="6" xfId="94" applyNumberFormat="1" applyFont="1" applyFill="1" applyBorder="1" applyAlignment="1" applyProtection="1">
      <alignment horizontal="center" vertical="center" wrapText="1"/>
    </xf>
    <xf numFmtId="2" fontId="8" fillId="33" borderId="14" xfId="93" applyNumberFormat="1" applyFont="1" applyFill="1" applyBorder="1" applyAlignment="1" applyProtection="1">
      <alignment horizontal="center" vertical="center" wrapText="1"/>
    </xf>
    <xf numFmtId="165" fontId="8" fillId="33" borderId="11" xfId="101" applyNumberFormat="1" applyFont="1" applyFill="1" applyBorder="1" applyAlignment="1" applyProtection="1">
      <alignment horizontal="left" vertical="center" wrapText="1"/>
    </xf>
    <xf numFmtId="1" fontId="8" fillId="33" borderId="57" xfId="93" applyNumberFormat="1" applyFont="1" applyFill="1" applyBorder="1" applyAlignment="1" applyProtection="1">
      <alignment horizontal="center" vertical="center" wrapText="1"/>
    </xf>
    <xf numFmtId="1" fontId="8" fillId="33" borderId="73" xfId="93" applyNumberFormat="1" applyFont="1" applyFill="1" applyBorder="1" applyAlignment="1" applyProtection="1">
      <alignment horizontal="center" vertical="center" wrapText="1"/>
    </xf>
    <xf numFmtId="1" fontId="8" fillId="33" borderId="12" xfId="93" applyNumberFormat="1" applyFont="1" applyFill="1" applyBorder="1" applyAlignment="1" applyProtection="1">
      <alignment horizontal="center" vertical="center" wrapText="1"/>
    </xf>
    <xf numFmtId="166" fontId="8" fillId="33" borderId="14" xfId="95" applyNumberFormat="1" applyFont="1" applyFill="1" applyBorder="1" applyAlignment="1" applyProtection="1">
      <alignment horizontal="center" vertical="center" wrapText="1"/>
    </xf>
    <xf numFmtId="2" fontId="8" fillId="33" borderId="62" xfId="93" applyNumberFormat="1" applyFont="1" applyFill="1" applyBorder="1" applyAlignment="1" applyProtection="1">
      <alignment horizontal="center" vertical="center" wrapText="1"/>
    </xf>
    <xf numFmtId="1" fontId="8" fillId="33" borderId="59" xfId="93" applyNumberFormat="1" applyFont="1" applyFill="1" applyBorder="1" applyAlignment="1" applyProtection="1">
      <alignment horizontal="center" vertical="center" wrapText="1"/>
    </xf>
    <xf numFmtId="165" fontId="8" fillId="33" borderId="10" xfId="96" applyNumberFormat="1" applyFont="1" applyFill="1" applyBorder="1" applyAlignment="1" applyProtection="1">
      <alignment horizontal="center" vertical="center" wrapText="1"/>
    </xf>
    <xf numFmtId="166" fontId="8" fillId="33" borderId="10" xfId="95" applyNumberFormat="1" applyFont="1" applyFill="1" applyBorder="1" applyAlignment="1" applyProtection="1">
      <alignment horizontal="center" vertical="center" wrapText="1"/>
    </xf>
    <xf numFmtId="2" fontId="9" fillId="33" borderId="62" xfId="93" applyNumberFormat="1" applyFont="1" applyFill="1" applyBorder="1" applyAlignment="1" applyProtection="1">
      <alignment vertical="center"/>
    </xf>
    <xf numFmtId="2" fontId="9" fillId="33" borderId="49" xfId="93" applyNumberFormat="1" applyFont="1" applyFill="1" applyBorder="1" applyAlignment="1" applyProtection="1">
      <alignment vertical="center"/>
    </xf>
    <xf numFmtId="1" fontId="8" fillId="33" borderId="14" xfId="93" applyNumberFormat="1" applyFont="1" applyFill="1" applyBorder="1" applyAlignment="1" applyProtection="1">
      <alignment horizontal="center" vertical="center" wrapText="1"/>
    </xf>
    <xf numFmtId="165" fontId="8" fillId="33" borderId="14" xfId="101" applyNumberFormat="1" applyFont="1" applyFill="1" applyBorder="1" applyAlignment="1" applyProtection="1">
      <alignment horizontal="left" vertical="center" wrapText="1"/>
    </xf>
    <xf numFmtId="10" fontId="8" fillId="33" borderId="14" xfId="95" applyNumberFormat="1" applyFont="1" applyFill="1" applyBorder="1" applyAlignment="1" applyProtection="1">
      <alignment horizontal="center" vertical="center" wrapText="1"/>
    </xf>
    <xf numFmtId="1" fontId="8" fillId="33" borderId="8" xfId="93" applyNumberFormat="1" applyFont="1" applyFill="1" applyBorder="1" applyAlignment="1" applyProtection="1">
      <alignment horizontal="center" vertical="center" wrapText="1"/>
    </xf>
    <xf numFmtId="0" fontId="8" fillId="33" borderId="17" xfId="93" applyFont="1" applyFill="1" applyBorder="1" applyAlignment="1" applyProtection="1">
      <alignment horizontal="center" vertical="center" wrapText="1"/>
    </xf>
    <xf numFmtId="2" fontId="9" fillId="33" borderId="64" xfId="93" applyNumberFormat="1" applyFont="1" applyFill="1" applyBorder="1" applyAlignment="1" applyProtection="1">
      <alignment vertical="center"/>
    </xf>
    <xf numFmtId="2" fontId="9" fillId="33" borderId="50" xfId="93" applyNumberFormat="1" applyFont="1" applyFill="1" applyBorder="1" applyAlignment="1" applyProtection="1">
      <alignment vertical="center"/>
    </xf>
    <xf numFmtId="0" fontId="8" fillId="33" borderId="23" xfId="93" applyFont="1" applyFill="1" applyBorder="1" applyAlignment="1" applyProtection="1">
      <alignment horizontal="center" vertical="center" wrapText="1"/>
    </xf>
    <xf numFmtId="1" fontId="8" fillId="33" borderId="2" xfId="93" applyNumberFormat="1" applyFont="1" applyFill="1" applyBorder="1" applyAlignment="1" applyProtection="1">
      <alignment horizontal="center" vertical="center" wrapText="1"/>
    </xf>
    <xf numFmtId="0" fontId="8" fillId="33" borderId="3" xfId="93" applyFont="1" applyFill="1" applyBorder="1" applyAlignment="1" applyProtection="1">
      <alignment horizontal="center" vertical="center" wrapText="1"/>
    </xf>
    <xf numFmtId="165" fontId="8" fillId="33" borderId="3" xfId="94" applyNumberFormat="1" applyFont="1" applyFill="1" applyBorder="1" applyAlignment="1" applyProtection="1">
      <alignment horizontal="center" vertical="center" wrapText="1"/>
    </xf>
    <xf numFmtId="165" fontId="8" fillId="33" borderId="3" xfId="96" applyNumberFormat="1" applyFont="1" applyFill="1" applyBorder="1" applyAlignment="1" applyProtection="1">
      <alignment horizontal="center" vertical="center" wrapText="1"/>
    </xf>
    <xf numFmtId="10" fontId="8" fillId="33" borderId="3" xfId="100" applyNumberFormat="1" applyFont="1" applyFill="1" applyBorder="1" applyAlignment="1" applyProtection="1">
      <alignment horizontal="center" vertical="center" wrapText="1"/>
    </xf>
    <xf numFmtId="165" fontId="8" fillId="33" borderId="16" xfId="101" applyNumberFormat="1" applyFont="1" applyFill="1" applyBorder="1" applyAlignment="1" applyProtection="1">
      <alignment horizontal="left" vertical="center" wrapText="1"/>
    </xf>
    <xf numFmtId="0" fontId="8" fillId="33" borderId="15" xfId="93" applyFont="1" applyFill="1" applyBorder="1" applyAlignment="1" applyProtection="1">
      <alignment horizontal="center" vertical="center" wrapText="1"/>
    </xf>
    <xf numFmtId="0" fontId="8" fillId="33" borderId="4" xfId="93" applyFont="1" applyFill="1" applyBorder="1" applyAlignment="1" applyProtection="1">
      <alignment horizontal="center" vertical="center" wrapText="1"/>
    </xf>
    <xf numFmtId="0" fontId="8" fillId="33" borderId="0" xfId="93" applyNumberFormat="1" applyFont="1" applyFill="1" applyProtection="1"/>
    <xf numFmtId="2" fontId="9" fillId="33" borderId="0" xfId="93" applyNumberFormat="1" applyFont="1" applyFill="1" applyBorder="1" applyAlignment="1" applyProtection="1">
      <alignment vertical="center"/>
    </xf>
    <xf numFmtId="43" fontId="8" fillId="33" borderId="0" xfId="93" applyNumberFormat="1" applyFont="1" applyFill="1" applyProtection="1"/>
    <xf numFmtId="10" fontId="8" fillId="33" borderId="0" xfId="95" applyNumberFormat="1" applyFont="1" applyFill="1" applyProtection="1"/>
    <xf numFmtId="165" fontId="8" fillId="33" borderId="0" xfId="93" applyNumberFormat="1" applyFont="1" applyFill="1" applyProtection="1"/>
    <xf numFmtId="165" fontId="8" fillId="33" borderId="0" xfId="94" applyNumberFormat="1" applyFont="1" applyFill="1" applyProtection="1"/>
    <xf numFmtId="165" fontId="8" fillId="33" borderId="0" xfId="95" applyNumberFormat="1" applyFont="1" applyFill="1" applyProtection="1"/>
    <xf numFmtId="43" fontId="8" fillId="33" borderId="0" xfId="94" applyNumberFormat="1" applyFont="1" applyFill="1" applyProtection="1"/>
    <xf numFmtId="165" fontId="8" fillId="33" borderId="0" xfId="99" applyNumberFormat="1" applyFont="1" applyFill="1" applyAlignment="1" applyProtection="1"/>
    <xf numFmtId="169" fontId="8" fillId="33" borderId="0" xfId="0" applyNumberFormat="1" applyFont="1" applyFill="1" applyProtection="1"/>
    <xf numFmtId="165" fontId="8" fillId="33" borderId="0" xfId="99" applyNumberFormat="1" applyFont="1" applyFill="1" applyProtection="1"/>
    <xf numFmtId="169" fontId="8" fillId="33" borderId="0" xfId="93" applyNumberFormat="1" applyFont="1" applyFill="1" applyProtection="1"/>
    <xf numFmtId="1" fontId="9" fillId="33" borderId="0" xfId="93" applyNumberFormat="1" applyFont="1" applyFill="1" applyAlignment="1" applyProtection="1">
      <alignment horizontal="center"/>
    </xf>
    <xf numFmtId="0" fontId="9" fillId="33" borderId="0" xfId="93" applyFont="1" applyFill="1" applyAlignment="1" applyProtection="1">
      <alignment horizontal="center"/>
    </xf>
    <xf numFmtId="0" fontId="7" fillId="33" borderId="18" xfId="0" applyFont="1" applyFill="1" applyBorder="1" applyAlignment="1">
      <alignment horizontal="center" vertical="center" wrapText="1"/>
    </xf>
    <xf numFmtId="173" fontId="28" fillId="33" borderId="0" xfId="93" applyNumberFormat="1" applyFont="1" applyFill="1" applyProtection="1"/>
    <xf numFmtId="171" fontId="14" fillId="33" borderId="0" xfId="101" applyNumberFormat="1" applyFont="1" applyFill="1" applyBorder="1"/>
  </cellXfs>
  <cellStyles count="371">
    <cellStyle name="20% - Accent1 2" xfId="1"/>
    <cellStyle name="20% - Accent1 2 2" xfId="108"/>
    <cellStyle name="20% - Accent1 2 2 2" xfId="252"/>
    <cellStyle name="20% - Accent1 2 2 2 2" xfId="339"/>
    <cellStyle name="20% - Accent1 2 2 3" xfId="298"/>
    <cellStyle name="20% - Accent1 2 3" xfId="124"/>
    <cellStyle name="20% - Accent1 2 4" xfId="209"/>
    <cellStyle name="20% - Accent1 2 4 2" xfId="269"/>
    <cellStyle name="20% - Accent1 2 4 2 2" xfId="355"/>
    <cellStyle name="20% - Accent1 2 4 3" xfId="314"/>
    <cellStyle name="20% - Accent1 2 5" xfId="240"/>
    <cellStyle name="20% - Accent1 2 5 2" xfId="327"/>
    <cellStyle name="20% - Accent1 2 6" xfId="286"/>
    <cellStyle name="20% - Accent2 2" xfId="2"/>
    <cellStyle name="20% - Accent2 2 2" xfId="109"/>
    <cellStyle name="20% - Accent2 2 2 2" xfId="253"/>
    <cellStyle name="20% - Accent2 2 2 2 2" xfId="340"/>
    <cellStyle name="20% - Accent2 2 2 3" xfId="299"/>
    <cellStyle name="20% - Accent2 2 3" xfId="125"/>
    <cellStyle name="20% - Accent2 2 4" xfId="210"/>
    <cellStyle name="20% - Accent2 2 4 2" xfId="270"/>
    <cellStyle name="20% - Accent2 2 4 2 2" xfId="356"/>
    <cellStyle name="20% - Accent2 2 4 3" xfId="315"/>
    <cellStyle name="20% - Accent2 2 5" xfId="241"/>
    <cellStyle name="20% - Accent2 2 5 2" xfId="328"/>
    <cellStyle name="20% - Accent2 2 6" xfId="287"/>
    <cellStyle name="20% - Accent3 2" xfId="3"/>
    <cellStyle name="20% - Accent3 2 2" xfId="110"/>
    <cellStyle name="20% - Accent3 2 2 2" xfId="254"/>
    <cellStyle name="20% - Accent3 2 2 2 2" xfId="341"/>
    <cellStyle name="20% - Accent3 2 2 3" xfId="300"/>
    <cellStyle name="20% - Accent3 2 3" xfId="126"/>
    <cellStyle name="20% - Accent3 2 4" xfId="211"/>
    <cellStyle name="20% - Accent3 2 4 2" xfId="271"/>
    <cellStyle name="20% - Accent3 2 4 2 2" xfId="357"/>
    <cellStyle name="20% - Accent3 2 4 3" xfId="316"/>
    <cellStyle name="20% - Accent3 2 5" xfId="242"/>
    <cellStyle name="20% - Accent3 2 5 2" xfId="329"/>
    <cellStyle name="20% - Accent3 2 6" xfId="288"/>
    <cellStyle name="20% - Accent4 2" xfId="4"/>
    <cellStyle name="20% - Accent4 2 2" xfId="111"/>
    <cellStyle name="20% - Accent4 2 2 2" xfId="255"/>
    <cellStyle name="20% - Accent4 2 2 2 2" xfId="342"/>
    <cellStyle name="20% - Accent4 2 2 3" xfId="301"/>
    <cellStyle name="20% - Accent4 2 3" xfId="127"/>
    <cellStyle name="20% - Accent4 2 4" xfId="212"/>
    <cellStyle name="20% - Accent4 2 4 2" xfId="272"/>
    <cellStyle name="20% - Accent4 2 4 2 2" xfId="358"/>
    <cellStyle name="20% - Accent4 2 4 3" xfId="317"/>
    <cellStyle name="20% - Accent4 2 5" xfId="243"/>
    <cellStyle name="20% - Accent4 2 5 2" xfId="330"/>
    <cellStyle name="20% - Accent4 2 6" xfId="289"/>
    <cellStyle name="20% - Accent5 2" xfId="5"/>
    <cellStyle name="20% - Accent5 2 2" xfId="112"/>
    <cellStyle name="20% - Accent5 2 2 2" xfId="256"/>
    <cellStyle name="20% - Accent5 2 2 2 2" xfId="343"/>
    <cellStyle name="20% - Accent5 2 2 3" xfId="302"/>
    <cellStyle name="20% - Accent5 2 3" xfId="128"/>
    <cellStyle name="20% - Accent5 2 4" xfId="213"/>
    <cellStyle name="20% - Accent5 2 4 2" xfId="273"/>
    <cellStyle name="20% - Accent5 2 4 2 2" xfId="359"/>
    <cellStyle name="20% - Accent5 2 4 3" xfId="318"/>
    <cellStyle name="20% - Accent5 2 5" xfId="244"/>
    <cellStyle name="20% - Accent5 2 5 2" xfId="331"/>
    <cellStyle name="20% - Accent5 2 6" xfId="290"/>
    <cellStyle name="20% - Accent6 2" xfId="6"/>
    <cellStyle name="20% - Accent6 2 2" xfId="113"/>
    <cellStyle name="20% - Accent6 2 2 2" xfId="257"/>
    <cellStyle name="20% - Accent6 2 2 2 2" xfId="344"/>
    <cellStyle name="20% - Accent6 2 2 3" xfId="303"/>
    <cellStyle name="20% - Accent6 2 3" xfId="129"/>
    <cellStyle name="20% - Accent6 2 4" xfId="214"/>
    <cellStyle name="20% - Accent6 2 4 2" xfId="274"/>
    <cellStyle name="20% - Accent6 2 4 2 2" xfId="360"/>
    <cellStyle name="20% - Accent6 2 4 3" xfId="319"/>
    <cellStyle name="20% - Accent6 2 5" xfId="245"/>
    <cellStyle name="20% - Accent6 2 5 2" xfId="332"/>
    <cellStyle name="20% - Accent6 2 6" xfId="291"/>
    <cellStyle name="20% - Акцент1" xfId="167"/>
    <cellStyle name="20% - Акцент2" xfId="168"/>
    <cellStyle name="20% - Акцент3" xfId="169"/>
    <cellStyle name="20% - Акцент4" xfId="170"/>
    <cellStyle name="20% - Акцент5" xfId="171"/>
    <cellStyle name="20% - Акцент6" xfId="172"/>
    <cellStyle name="40% - Accent1 2" xfId="7"/>
    <cellStyle name="40% - Accent1 2 2" xfId="114"/>
    <cellStyle name="40% - Accent1 2 2 2" xfId="258"/>
    <cellStyle name="40% - Accent1 2 2 2 2" xfId="345"/>
    <cellStyle name="40% - Accent1 2 2 3" xfId="304"/>
    <cellStyle name="40% - Accent1 2 3" xfId="130"/>
    <cellStyle name="40% - Accent1 2 4" xfId="215"/>
    <cellStyle name="40% - Accent1 2 4 2" xfId="275"/>
    <cellStyle name="40% - Accent1 2 4 2 2" xfId="361"/>
    <cellStyle name="40% - Accent1 2 4 3" xfId="320"/>
    <cellStyle name="40% - Accent1 2 5" xfId="246"/>
    <cellStyle name="40% - Accent1 2 5 2" xfId="333"/>
    <cellStyle name="40% - Accent1 2 6" xfId="292"/>
    <cellStyle name="40% - Accent2 2" xfId="8"/>
    <cellStyle name="40% - Accent2 2 2" xfId="115"/>
    <cellStyle name="40% - Accent2 2 2 2" xfId="259"/>
    <cellStyle name="40% - Accent2 2 2 2 2" xfId="346"/>
    <cellStyle name="40% - Accent2 2 2 3" xfId="305"/>
    <cellStyle name="40% - Accent2 2 3" xfId="131"/>
    <cellStyle name="40% - Accent2 2 4" xfId="216"/>
    <cellStyle name="40% - Accent2 2 4 2" xfId="276"/>
    <cellStyle name="40% - Accent2 2 4 2 2" xfId="362"/>
    <cellStyle name="40% - Accent2 2 4 3" xfId="321"/>
    <cellStyle name="40% - Accent2 2 5" xfId="247"/>
    <cellStyle name="40% - Accent2 2 5 2" xfId="334"/>
    <cellStyle name="40% - Accent2 2 6" xfId="293"/>
    <cellStyle name="40% - Accent3 2" xfId="9"/>
    <cellStyle name="40% - Accent3 2 2" xfId="116"/>
    <cellStyle name="40% - Accent3 2 2 2" xfId="260"/>
    <cellStyle name="40% - Accent3 2 2 2 2" xfId="347"/>
    <cellStyle name="40% - Accent3 2 2 3" xfId="306"/>
    <cellStyle name="40% - Accent3 2 3" xfId="132"/>
    <cellStyle name="40% - Accent3 2 4" xfId="217"/>
    <cellStyle name="40% - Accent3 2 4 2" xfId="277"/>
    <cellStyle name="40% - Accent3 2 4 2 2" xfId="363"/>
    <cellStyle name="40% - Accent3 2 4 3" xfId="322"/>
    <cellStyle name="40% - Accent3 2 5" xfId="248"/>
    <cellStyle name="40% - Accent3 2 5 2" xfId="335"/>
    <cellStyle name="40% - Accent3 2 6" xfId="294"/>
    <cellStyle name="40% - Accent4 2" xfId="10"/>
    <cellStyle name="40% - Accent4 2 2" xfId="117"/>
    <cellStyle name="40% - Accent4 2 2 2" xfId="261"/>
    <cellStyle name="40% - Accent4 2 2 2 2" xfId="348"/>
    <cellStyle name="40% - Accent4 2 2 3" xfId="307"/>
    <cellStyle name="40% - Accent4 2 3" xfId="133"/>
    <cellStyle name="40% - Accent4 2 4" xfId="218"/>
    <cellStyle name="40% - Accent4 2 4 2" xfId="278"/>
    <cellStyle name="40% - Accent4 2 4 2 2" xfId="364"/>
    <cellStyle name="40% - Accent4 2 4 3" xfId="323"/>
    <cellStyle name="40% - Accent4 2 5" xfId="249"/>
    <cellStyle name="40% - Accent4 2 5 2" xfId="336"/>
    <cellStyle name="40% - Accent4 2 6" xfId="295"/>
    <cellStyle name="40% - Accent5 2" xfId="11"/>
    <cellStyle name="40% - Accent5 2 2" xfId="118"/>
    <cellStyle name="40% - Accent5 2 2 2" xfId="262"/>
    <cellStyle name="40% - Accent5 2 2 2 2" xfId="349"/>
    <cellStyle name="40% - Accent5 2 2 3" xfId="308"/>
    <cellStyle name="40% - Accent5 2 3" xfId="134"/>
    <cellStyle name="40% - Accent5 2 4" xfId="219"/>
    <cellStyle name="40% - Accent5 2 4 2" xfId="279"/>
    <cellStyle name="40% - Accent5 2 4 2 2" xfId="365"/>
    <cellStyle name="40% - Accent5 2 4 3" xfId="324"/>
    <cellStyle name="40% - Accent5 2 5" xfId="250"/>
    <cellStyle name="40% - Accent5 2 5 2" xfId="337"/>
    <cellStyle name="40% - Accent5 2 6" xfId="296"/>
    <cellStyle name="40% - Accent6 2" xfId="12"/>
    <cellStyle name="40% - Accent6 2 2" xfId="119"/>
    <cellStyle name="40% - Accent6 2 2 2" xfId="263"/>
    <cellStyle name="40% - Accent6 2 2 2 2" xfId="350"/>
    <cellStyle name="40% - Accent6 2 2 3" xfId="309"/>
    <cellStyle name="40% - Accent6 2 3" xfId="135"/>
    <cellStyle name="40% - Accent6 2 4" xfId="220"/>
    <cellStyle name="40% - Accent6 2 4 2" xfId="280"/>
    <cellStyle name="40% - Accent6 2 4 2 2" xfId="366"/>
    <cellStyle name="40% - Accent6 2 4 3" xfId="325"/>
    <cellStyle name="40% - Accent6 2 5" xfId="251"/>
    <cellStyle name="40% - Accent6 2 5 2" xfId="338"/>
    <cellStyle name="40% - Accent6 2 6" xfId="297"/>
    <cellStyle name="40% - Акцент1" xfId="173"/>
    <cellStyle name="40% - Акцент2" xfId="174"/>
    <cellStyle name="40% - Акцент3" xfId="175"/>
    <cellStyle name="40% - Акцент4" xfId="176"/>
    <cellStyle name="40% - Акцент5" xfId="177"/>
    <cellStyle name="40% - Акцент6" xfId="178"/>
    <cellStyle name="60% - Accent1 2" xfId="13"/>
    <cellStyle name="60% - Accent1 2 2" xfId="136"/>
    <cellStyle name="60% - Accent2 2" xfId="14"/>
    <cellStyle name="60% - Accent2 2 2" xfId="137"/>
    <cellStyle name="60% - Accent3 2" xfId="15"/>
    <cellStyle name="60% - Accent3 2 2" xfId="138"/>
    <cellStyle name="60% - Accent4 2" xfId="16"/>
    <cellStyle name="60% - Accent4 2 2" xfId="139"/>
    <cellStyle name="60% - Accent5 2" xfId="17"/>
    <cellStyle name="60% - Accent5 2 2" xfId="140"/>
    <cellStyle name="60% - Accent6 2" xfId="18"/>
    <cellStyle name="60% - Accent6 2 2" xfId="141"/>
    <cellStyle name="60% - Акцент1" xfId="179"/>
    <cellStyle name="60% - Акцент2" xfId="180"/>
    <cellStyle name="60% - Акцент3" xfId="181"/>
    <cellStyle name="60% - Акцент4" xfId="182"/>
    <cellStyle name="60% - Акцент5" xfId="183"/>
    <cellStyle name="60% - Акцент6" xfId="184"/>
    <cellStyle name="Accent1 2" xfId="19"/>
    <cellStyle name="Accent1 2 2" xfId="142"/>
    <cellStyle name="Accent2 2" xfId="20"/>
    <cellStyle name="Accent2 2 2" xfId="143"/>
    <cellStyle name="Accent3 2" xfId="21"/>
    <cellStyle name="Accent3 2 2" xfId="144"/>
    <cellStyle name="Accent4 2" xfId="22"/>
    <cellStyle name="Accent4 2 2" xfId="145"/>
    <cellStyle name="Accent5 2" xfId="23"/>
    <cellStyle name="Accent5 2 2" xfId="146"/>
    <cellStyle name="Accent6 2" xfId="24"/>
    <cellStyle name="Accent6 2 2" xfId="147"/>
    <cellStyle name="Bad 2" xfId="25"/>
    <cellStyle name="Bad 2 2" xfId="148"/>
    <cellStyle name="Calculation 2" xfId="26"/>
    <cellStyle name="Calculation 2 2" xfId="149"/>
    <cellStyle name="Check Cell 2" xfId="27"/>
    <cellStyle name="Check Cell 2 2" xfId="150"/>
    <cellStyle name="Comma 2" xfId="28"/>
    <cellStyle name="Comma 2 2" xfId="29"/>
    <cellStyle name="Comma 2 2 2" xfId="101"/>
    <cellStyle name="Comma 2 2 2 3" xfId="192"/>
    <cellStyle name="Comma 2 3" xfId="197"/>
    <cellStyle name="Comma 3" xfId="30"/>
    <cellStyle name="Comma 4" xfId="31"/>
    <cellStyle name="Comma 4 2" xfId="96"/>
    <cellStyle name="Comma 4 3" xfId="198"/>
    <cellStyle name="Comma 5" xfId="32"/>
    <cellStyle name="Comma 5 2" xfId="102"/>
    <cellStyle name="Comma 5 3" xfId="199"/>
    <cellStyle name="Comma 6" xfId="33"/>
    <cellStyle name="Comma 6 2" xfId="34"/>
    <cellStyle name="Comma 6 2 2" xfId="120"/>
    <cellStyle name="Comma 6 3" xfId="103"/>
    <cellStyle name="Comma 6 4" xfId="221"/>
    <cellStyle name="Comma 7" xfId="35"/>
    <cellStyle name="Comma 7 2" xfId="36"/>
    <cellStyle name="Comma 7 2 2" xfId="94"/>
    <cellStyle name="Comma 7 2 2 3" xfId="193"/>
    <cellStyle name="Comma 7 3" xfId="92"/>
    <cellStyle name="Comma 8" xfId="37"/>
    <cellStyle name="Comma 8 2" xfId="121"/>
    <cellStyle name="Comma 9" xfId="151"/>
    <cellStyle name="Comma 9 2" xfId="264"/>
    <cellStyle name="Currency 2" xfId="123"/>
    <cellStyle name="Explanatory Text 2" xfId="38"/>
    <cellStyle name="Explanatory Text 2 2" xfId="152"/>
    <cellStyle name="Good 2" xfId="39"/>
    <cellStyle name="Good 2 2" xfId="153"/>
    <cellStyle name="Heading 1 2" xfId="40"/>
    <cellStyle name="Heading 1 2 2" xfId="154"/>
    <cellStyle name="Heading 2 2" xfId="41"/>
    <cellStyle name="Heading 2 2 2" xfId="155"/>
    <cellStyle name="Heading 3 2" xfId="42"/>
    <cellStyle name="Heading 3 2 2" xfId="156"/>
    <cellStyle name="Heading 4 2" xfId="43"/>
    <cellStyle name="Heading 4 2 2" xfId="157"/>
    <cellStyle name="Input 2" xfId="44"/>
    <cellStyle name="Input 2 2" xfId="158"/>
    <cellStyle name="KPMG Heading 1" xfId="45"/>
    <cellStyle name="KPMG Heading 2" xfId="46"/>
    <cellStyle name="KPMG Heading 3" xfId="47"/>
    <cellStyle name="KPMG Heading 4" xfId="48"/>
    <cellStyle name="KPMG Normal" xfId="49"/>
    <cellStyle name="KPMG Normal Text" xfId="50"/>
    <cellStyle name="KPMG Normal_123" xfId="51"/>
    <cellStyle name="Linked Cell 2" xfId="52"/>
    <cellStyle name="Linked Cell 2 2" xfId="159"/>
    <cellStyle name="Neutral 2" xfId="53"/>
    <cellStyle name="Neutral 2 2" xfId="160"/>
    <cellStyle name="Normal" xfId="0" builtinId="0"/>
    <cellStyle name="Normal 10" xfId="54"/>
    <cellStyle name="Normal 10 2" xfId="161"/>
    <cellStyle name="Normal 10 3" xfId="223"/>
    <cellStyle name="Normal 11" xfId="55"/>
    <cellStyle name="Normal 12" xfId="56"/>
    <cellStyle name="Normal 13" xfId="57"/>
    <cellStyle name="Normal 14" xfId="58"/>
    <cellStyle name="Normal 14 2" xfId="93"/>
    <cellStyle name="Normal 15" xfId="59"/>
    <cellStyle name="Normal 15 2" xfId="104"/>
    <cellStyle name="Normal 17" xfId="201"/>
    <cellStyle name="Normal 17 2" xfId="267"/>
    <cellStyle name="Normal 17 2 2" xfId="353"/>
    <cellStyle name="Normal 17 3" xfId="312"/>
    <cellStyle name="Normal 19 2 2" xfId="202"/>
    <cellStyle name="Normal 2" xfId="60"/>
    <cellStyle name="Normal 2 2" xfId="61"/>
    <cellStyle name="Normal 2 3" xfId="62"/>
    <cellStyle name="Normal 2 3 2" xfId="63"/>
    <cellStyle name="Normal 2 4" xfId="64"/>
    <cellStyle name="Normal 2 5" xfId="105"/>
    <cellStyle name="Normal 3" xfId="65"/>
    <cellStyle name="Normal 3 2" xfId="66"/>
    <cellStyle name="Normal 3 2 2" xfId="106"/>
    <cellStyle name="Normal 3 3" xfId="162"/>
    <cellStyle name="Normal 32" xfId="203"/>
    <cellStyle name="Normal 32 4" xfId="204"/>
    <cellStyle name="Normal 4" xfId="67"/>
    <cellStyle name="Normal 43" xfId="205"/>
    <cellStyle name="Normal 43 2" xfId="268"/>
    <cellStyle name="Normal 43 2 2" xfId="354"/>
    <cellStyle name="Normal 43 3" xfId="313"/>
    <cellStyle name="Normal 44" xfId="206"/>
    <cellStyle name="Normal 5" xfId="68"/>
    <cellStyle name="Normal 6" xfId="69"/>
    <cellStyle name="Normal 6 2" xfId="70"/>
    <cellStyle name="Normal 7" xfId="71"/>
    <cellStyle name="Normal 8" xfId="72"/>
    <cellStyle name="Normal 8 2" xfId="185"/>
    <cellStyle name="Normal 8 2 2" xfId="265"/>
    <cellStyle name="Normal 8 2 2 2" xfId="351"/>
    <cellStyle name="Normal 8 2 3" xfId="283"/>
    <cellStyle name="Normal 8 2 3 2" xfId="368"/>
    <cellStyle name="Normal 8 2 4" xfId="310"/>
    <cellStyle name="Normal 9" xfId="73"/>
    <cellStyle name="Note 2" xfId="74"/>
    <cellStyle name="Note 2 2" xfId="163"/>
    <cellStyle name="Output 2" xfId="75"/>
    <cellStyle name="Output 2 2" xfId="164"/>
    <cellStyle name="Percent 2" xfId="76"/>
    <cellStyle name="Percent 3" xfId="77"/>
    <cellStyle name="Percent 3 2" xfId="100"/>
    <cellStyle name="Percent 4" xfId="78"/>
    <cellStyle name="Percent 4 2" xfId="79"/>
    <cellStyle name="Percent 4 2 2" xfId="122"/>
    <cellStyle name="Percent 4 3" xfId="107"/>
    <cellStyle name="Percent 5" xfId="80"/>
    <cellStyle name="Percent 5 2" xfId="81"/>
    <cellStyle name="Percent 5 2 2" xfId="95"/>
    <cellStyle name="Percent 5 3" xfId="91"/>
    <cellStyle name="Total 2" xfId="82"/>
    <cellStyle name="Total 2 2" xfId="165"/>
    <cellStyle name="Warning Text 2" xfId="83"/>
    <cellStyle name="Warning Text 2 2" xfId="166"/>
    <cellStyle name="Беззащитный" xfId="84"/>
    <cellStyle name="Защитный" xfId="85"/>
    <cellStyle name="Обычный 2" xfId="86"/>
    <cellStyle name="Обычный 2 10" xfId="284"/>
    <cellStyle name="Обычный 2 10 2" xfId="369"/>
    <cellStyle name="Обычный 2 2" xfId="98"/>
    <cellStyle name="Обычный 2 2 2" xfId="228"/>
    <cellStyle name="Обычный 2 3" xfId="187"/>
    <cellStyle name="Обычный 2 4" xfId="188"/>
    <cellStyle name="Обычный 2 4 2" xfId="229"/>
    <cellStyle name="Обычный 2 5" xfId="189"/>
    <cellStyle name="Обычный 2 5 2" xfId="230"/>
    <cellStyle name="Обычный 2 6" xfId="190"/>
    <cellStyle name="Обычный 2 6 2" xfId="231"/>
    <cellStyle name="Обычный 2 7" xfId="186"/>
    <cellStyle name="Обычный 2 7 2" xfId="233"/>
    <cellStyle name="Обычный 2 7 3" xfId="232"/>
    <cellStyle name="Обычный 2 7 4" xfId="266"/>
    <cellStyle name="Обычный 2 7 4 2" xfId="352"/>
    <cellStyle name="Обычный 2 7 5" xfId="311"/>
    <cellStyle name="Обычный 2 8" xfId="234"/>
    <cellStyle name="Обычный 2 8 2" xfId="235"/>
    <cellStyle name="Обычный 2 9" xfId="236"/>
    <cellStyle name="Обычный 2 9 2" xfId="282"/>
    <cellStyle name="Обычный 2 9 2 2" xfId="367"/>
    <cellStyle name="Обычный 2 9 3" xfId="285"/>
    <cellStyle name="Обычный 2 9 3 2" xfId="370"/>
    <cellStyle name="Обычный 2 9 4" xfId="326"/>
    <cellStyle name="Обычный 2_900005052015" xfId="191"/>
    <cellStyle name="Обычный 3" xfId="87"/>
    <cellStyle name="Обычный 3 2" xfId="208"/>
    <cellStyle name="Обычный 3 3" xfId="238"/>
    <cellStyle name="Обычный 4" xfId="194"/>
    <cellStyle name="Обычный 5" xfId="207"/>
    <cellStyle name="Обычный 6" xfId="200"/>
    <cellStyle name="Обычный 7" xfId="195"/>
    <cellStyle name="Обычный 8" xfId="225"/>
    <cellStyle name="Обычный 9" xfId="237"/>
    <cellStyle name="Финансовый 2" xfId="88"/>
    <cellStyle name="Финансовый 2 2" xfId="99"/>
    <cellStyle name="Финансовый 2 3" xfId="239"/>
    <cellStyle name="Финансовый 3" xfId="89"/>
    <cellStyle name="Финансовый 3 2" xfId="226"/>
    <cellStyle name="Финансовый 4" xfId="90"/>
    <cellStyle name="Финансовый 4 2" xfId="97"/>
    <cellStyle name="Финансовый 4 3" xfId="227"/>
    <cellStyle name="Финансовый 5" xfId="196"/>
    <cellStyle name="Финансовый 6" xfId="222"/>
    <cellStyle name="Финансовый 7" xfId="224"/>
    <cellStyle name="Финансовый 7 2" xfId="281"/>
  </cellStyles>
  <dxfs count="30"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FF"/>
      <color rgb="FFCCFFCC"/>
      <color rgb="FF99FF99"/>
      <color rgb="FF33CC33"/>
      <color rgb="FFFFFFCC"/>
      <color rgb="FF66FFFF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ira.Manrikyan\Desktop\Kentronakan%20Bank\Hachvark%20K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ira.Manrikyan\Desktop\&#1332;&#1387;%20&#1384;&#1398;&#1380;%20&#1335;&#1397;&#1403;%20&#1331;&#1408;&#1400;&#1410;&#1402;%20&#1357;&#1354;&#1336;%2010&#1396;&#1388;&#1398;%20$%20Eurobond%20&#1415;%208%20&#1396;&#1388;&#1408;&#1380;%20&#1380;&#1408;&#1377;&#1396;\D&amp;H%2010%20mln%20$%20%20&#1411;&#1400;&#1411;.%20&#1379;&#1400;&#1408;&#1390;&#1400;&#139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Հետաձգման որոշմամբ"/>
      <sheetName val="Փաստ մարում"/>
      <sheetName val="Yst pajm.hin"/>
    </sheetNames>
    <sheetDataSet>
      <sheetData sheetId="0">
        <row r="226">
          <cell r="J226">
            <v>1940988.9</v>
          </cell>
        </row>
        <row r="227">
          <cell r="J227">
            <v>22949165.699999999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,08,20 գործող"/>
      <sheetName val="փաստացի "/>
      <sheetName val="փաստացի մարում"/>
      <sheetName val="Sheet1"/>
      <sheetName val="Սաթունց"/>
      <sheetName val="Հաշվարկ 10 մլն հին"/>
    </sheetNames>
    <sheetDataSet>
      <sheetData sheetId="0">
        <row r="55">
          <cell r="I55">
            <v>37945.651610226625</v>
          </cell>
        </row>
        <row r="56">
          <cell r="I56">
            <v>37130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JC163"/>
  <sheetViews>
    <sheetView zoomScale="90" zoomScaleNormal="90" workbookViewId="0">
      <pane xSplit="2" ySplit="4" topLeftCell="C65" activePane="bottomRight" state="frozen"/>
      <selection pane="topRight" activeCell="C1" sqref="C1"/>
      <selection pane="bottomLeft" activeCell="A5" sqref="A5"/>
      <selection pane="bottomRight" activeCell="R67" sqref="R67"/>
    </sheetView>
  </sheetViews>
  <sheetFormatPr defaultRowHeight="13.5" outlineLevelRow="1" x14ac:dyDescent="0.25"/>
  <cols>
    <col min="1" max="1" width="6.85546875" style="21" customWidth="1"/>
    <col min="2" max="2" width="23.7109375" style="29" customWidth="1"/>
    <col min="3" max="3" width="23.42578125" style="21" customWidth="1"/>
    <col min="4" max="4" width="16.140625" style="21" customWidth="1"/>
    <col min="5" max="10" width="16.140625" style="21" hidden="1" customWidth="1"/>
    <col min="11" max="11" width="18.85546875" style="182" customWidth="1"/>
    <col min="12" max="12" width="20.140625" style="21" customWidth="1"/>
    <col min="13" max="13" width="16.42578125" style="21" bestFit="1" customWidth="1"/>
    <col min="14" max="14" width="21.28515625" style="21" customWidth="1"/>
    <col min="15" max="15" width="19.7109375" style="21" customWidth="1"/>
    <col min="16" max="16" width="20.28515625" style="27" customWidth="1"/>
    <col min="17" max="17" width="21.7109375" style="186" customWidth="1"/>
    <col min="18" max="18" width="18.5703125" style="27" customWidth="1"/>
    <col min="19" max="19" width="18.85546875" style="27" bestFit="1" customWidth="1"/>
    <col min="20" max="20" width="26.7109375" style="21" bestFit="1" customWidth="1"/>
    <col min="21" max="21" width="25.28515625" style="188" customWidth="1"/>
    <col min="22" max="22" width="26.42578125" style="21" customWidth="1"/>
    <col min="23" max="23" width="44.28515625" style="25" customWidth="1"/>
    <col min="24" max="24" width="23.5703125" style="26" customWidth="1"/>
    <col min="25" max="25" width="21.85546875" style="27" customWidth="1"/>
    <col min="26" max="939" width="9.140625" style="27"/>
    <col min="940" max="16384" width="9.140625" style="21"/>
  </cols>
  <sheetData>
    <row r="1" spans="1:939" ht="22.5" x14ac:dyDescent="0.4">
      <c r="A1" s="371" t="s">
        <v>15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</row>
    <row r="2" spans="1:939" ht="49.5" customHeight="1" x14ac:dyDescent="0.4">
      <c r="A2" s="372" t="s">
        <v>413</v>
      </c>
      <c r="B2" s="372"/>
      <c r="C2" s="372"/>
      <c r="D2" s="372"/>
      <c r="E2" s="372"/>
      <c r="F2" s="372"/>
      <c r="G2" s="372"/>
      <c r="H2" s="372"/>
      <c r="I2" s="372"/>
      <c r="J2" s="372"/>
      <c r="K2" s="372"/>
      <c r="L2" s="372"/>
      <c r="M2" s="372"/>
      <c r="N2" s="372"/>
      <c r="O2" s="372"/>
      <c r="P2" s="372"/>
      <c r="Q2" s="372"/>
      <c r="R2" s="372"/>
      <c r="S2" s="372"/>
      <c r="T2" s="372"/>
      <c r="U2" s="372"/>
      <c r="V2" s="372"/>
    </row>
    <row r="3" spans="1:939" ht="38.25" customHeight="1" thickBot="1" x14ac:dyDescent="0.3">
      <c r="A3" s="28"/>
      <c r="C3" s="28"/>
      <c r="D3" s="28"/>
      <c r="E3" s="28"/>
      <c r="F3" s="28"/>
      <c r="G3" s="28"/>
      <c r="H3" s="28"/>
      <c r="I3" s="28"/>
      <c r="J3" s="28"/>
      <c r="K3" s="30"/>
      <c r="L3" s="28"/>
      <c r="M3" s="28"/>
      <c r="N3" s="28"/>
      <c r="O3" s="28"/>
      <c r="P3" s="31"/>
      <c r="Q3" s="32"/>
      <c r="R3" s="31"/>
      <c r="S3" s="31"/>
      <c r="T3" s="28"/>
      <c r="U3" s="33"/>
      <c r="V3" s="28"/>
    </row>
    <row r="4" spans="1:939" s="36" customFormat="1" ht="114" customHeight="1" thickBot="1" x14ac:dyDescent="0.3">
      <c r="A4" s="250" t="s">
        <v>128</v>
      </c>
      <c r="B4" s="251" t="s">
        <v>35</v>
      </c>
      <c r="C4" s="251" t="s">
        <v>153</v>
      </c>
      <c r="D4" s="251" t="s">
        <v>154</v>
      </c>
      <c r="E4" s="252" t="s">
        <v>20</v>
      </c>
      <c r="F4" s="253" t="s">
        <v>155</v>
      </c>
      <c r="G4" s="253" t="s">
        <v>10</v>
      </c>
      <c r="H4" s="253" t="s">
        <v>13</v>
      </c>
      <c r="I4" s="253" t="s">
        <v>11</v>
      </c>
      <c r="J4" s="253" t="s">
        <v>19</v>
      </c>
      <c r="K4" s="251" t="s">
        <v>14</v>
      </c>
      <c r="L4" s="251" t="s">
        <v>343</v>
      </c>
      <c r="M4" s="251" t="s">
        <v>20</v>
      </c>
      <c r="N4" s="251" t="s">
        <v>345</v>
      </c>
      <c r="O4" s="253" t="s">
        <v>346</v>
      </c>
      <c r="P4" s="251" t="s">
        <v>347</v>
      </c>
      <c r="Q4" s="254" t="s">
        <v>344</v>
      </c>
      <c r="R4" s="251" t="s">
        <v>5</v>
      </c>
      <c r="S4" s="251" t="s">
        <v>22</v>
      </c>
      <c r="T4" s="251" t="s">
        <v>6</v>
      </c>
      <c r="U4" s="261" t="s">
        <v>157</v>
      </c>
      <c r="V4" s="255" t="s">
        <v>7</v>
      </c>
      <c r="W4" s="256" t="s">
        <v>361</v>
      </c>
      <c r="X4" s="34"/>
      <c r="Y4" s="341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  <c r="GH4" s="35"/>
      <c r="GI4" s="35"/>
      <c r="GJ4" s="35"/>
      <c r="GK4" s="35"/>
      <c r="GL4" s="35"/>
      <c r="GM4" s="35"/>
      <c r="GN4" s="35"/>
      <c r="GO4" s="35"/>
      <c r="GP4" s="35"/>
      <c r="GQ4" s="35"/>
      <c r="GR4" s="35"/>
      <c r="GS4" s="35"/>
      <c r="GT4" s="35"/>
      <c r="GU4" s="35"/>
      <c r="GV4" s="35"/>
      <c r="GW4" s="35"/>
      <c r="GX4" s="35"/>
      <c r="GY4" s="35"/>
      <c r="GZ4" s="35"/>
      <c r="HA4" s="35"/>
      <c r="HB4" s="35"/>
      <c r="HC4" s="35"/>
      <c r="HD4" s="35"/>
      <c r="HE4" s="35"/>
      <c r="HF4" s="35"/>
      <c r="HG4" s="35"/>
      <c r="HH4" s="35"/>
      <c r="HI4" s="35"/>
      <c r="HJ4" s="35"/>
      <c r="HK4" s="35"/>
      <c r="HL4" s="35"/>
      <c r="HM4" s="35"/>
      <c r="HN4" s="35"/>
      <c r="HO4" s="35"/>
      <c r="HP4" s="35"/>
      <c r="HQ4" s="35"/>
      <c r="HR4" s="35"/>
      <c r="HS4" s="35"/>
      <c r="HT4" s="35"/>
      <c r="HU4" s="35"/>
      <c r="HV4" s="35"/>
      <c r="HW4" s="35"/>
      <c r="HX4" s="35"/>
      <c r="HY4" s="35"/>
      <c r="HZ4" s="35"/>
      <c r="IA4" s="35"/>
      <c r="IB4" s="35"/>
      <c r="IC4" s="35"/>
      <c r="ID4" s="35"/>
      <c r="IE4" s="35"/>
      <c r="IF4" s="35"/>
      <c r="IG4" s="35"/>
      <c r="IH4" s="35"/>
      <c r="II4" s="35"/>
      <c r="IJ4" s="35"/>
      <c r="IK4" s="35"/>
      <c r="IL4" s="35"/>
      <c r="IM4" s="35"/>
      <c r="IN4" s="35"/>
      <c r="IO4" s="35"/>
      <c r="IP4" s="35"/>
      <c r="IQ4" s="35"/>
      <c r="IR4" s="35"/>
      <c r="IS4" s="35"/>
      <c r="IT4" s="35"/>
      <c r="IU4" s="35"/>
      <c r="IV4" s="35"/>
      <c r="IW4" s="35"/>
      <c r="IX4" s="35"/>
      <c r="IY4" s="35"/>
      <c r="IZ4" s="35"/>
      <c r="JA4" s="35"/>
      <c r="JB4" s="35"/>
      <c r="JC4" s="35"/>
      <c r="JD4" s="35"/>
      <c r="JE4" s="35"/>
      <c r="JF4" s="35"/>
      <c r="JG4" s="35"/>
      <c r="JH4" s="35"/>
      <c r="JI4" s="35"/>
      <c r="JJ4" s="35"/>
      <c r="JK4" s="35"/>
      <c r="JL4" s="35"/>
      <c r="JM4" s="35"/>
      <c r="JN4" s="35"/>
      <c r="JO4" s="35"/>
      <c r="JP4" s="35"/>
      <c r="JQ4" s="35"/>
      <c r="JR4" s="35"/>
      <c r="JS4" s="35"/>
      <c r="JT4" s="35"/>
      <c r="JU4" s="35"/>
      <c r="JV4" s="35"/>
      <c r="JW4" s="35"/>
      <c r="JX4" s="35"/>
      <c r="JY4" s="35"/>
      <c r="JZ4" s="35"/>
      <c r="KA4" s="35"/>
      <c r="KB4" s="35"/>
      <c r="KC4" s="35"/>
      <c r="KD4" s="35"/>
      <c r="KE4" s="35"/>
      <c r="KF4" s="35"/>
      <c r="KG4" s="35"/>
      <c r="KH4" s="35"/>
      <c r="KI4" s="35"/>
      <c r="KJ4" s="35"/>
      <c r="KK4" s="35"/>
      <c r="KL4" s="35"/>
      <c r="KM4" s="35"/>
      <c r="KN4" s="35"/>
      <c r="KO4" s="35"/>
      <c r="KP4" s="35"/>
      <c r="KQ4" s="35"/>
      <c r="KR4" s="35"/>
      <c r="KS4" s="35"/>
      <c r="KT4" s="35"/>
      <c r="KU4" s="35"/>
      <c r="KV4" s="35"/>
      <c r="KW4" s="35"/>
      <c r="KX4" s="35"/>
      <c r="KY4" s="35"/>
      <c r="KZ4" s="35"/>
      <c r="LA4" s="35"/>
      <c r="LB4" s="35"/>
      <c r="LC4" s="35"/>
      <c r="LD4" s="35"/>
      <c r="LE4" s="35"/>
      <c r="LF4" s="35"/>
      <c r="LG4" s="35"/>
      <c r="LH4" s="35"/>
      <c r="LI4" s="35"/>
      <c r="LJ4" s="35"/>
      <c r="LK4" s="35"/>
      <c r="LL4" s="35"/>
      <c r="LM4" s="35"/>
      <c r="LN4" s="35"/>
      <c r="LO4" s="35"/>
      <c r="LP4" s="35"/>
      <c r="LQ4" s="35"/>
      <c r="LR4" s="35"/>
      <c r="LS4" s="35"/>
      <c r="LT4" s="35"/>
      <c r="LU4" s="35"/>
      <c r="LV4" s="35"/>
      <c r="LW4" s="35"/>
      <c r="LX4" s="35"/>
      <c r="LY4" s="35"/>
      <c r="LZ4" s="35"/>
      <c r="MA4" s="35"/>
      <c r="MB4" s="35"/>
      <c r="MC4" s="35"/>
      <c r="MD4" s="35"/>
      <c r="ME4" s="35"/>
      <c r="MF4" s="35"/>
      <c r="MG4" s="35"/>
      <c r="MH4" s="35"/>
      <c r="MI4" s="35"/>
      <c r="MJ4" s="35"/>
      <c r="MK4" s="35"/>
      <c r="ML4" s="35"/>
      <c r="MM4" s="35"/>
      <c r="MN4" s="35"/>
      <c r="MO4" s="35"/>
      <c r="MP4" s="35"/>
      <c r="MQ4" s="35"/>
      <c r="MR4" s="35"/>
      <c r="MS4" s="35"/>
      <c r="MT4" s="35"/>
      <c r="MU4" s="35"/>
      <c r="MV4" s="35"/>
      <c r="MW4" s="35"/>
      <c r="MX4" s="35"/>
      <c r="MY4" s="35"/>
      <c r="MZ4" s="35"/>
      <c r="NA4" s="35"/>
      <c r="NB4" s="35"/>
      <c r="NC4" s="35"/>
      <c r="ND4" s="35"/>
      <c r="NE4" s="35"/>
      <c r="NF4" s="35"/>
      <c r="NG4" s="35"/>
      <c r="NH4" s="35"/>
      <c r="NI4" s="35"/>
      <c r="NJ4" s="35"/>
      <c r="NK4" s="35"/>
      <c r="NL4" s="35"/>
      <c r="NM4" s="35"/>
      <c r="NN4" s="35"/>
      <c r="NO4" s="35"/>
      <c r="NP4" s="35"/>
      <c r="NQ4" s="35"/>
      <c r="NR4" s="35"/>
      <c r="NS4" s="35"/>
      <c r="NT4" s="35"/>
      <c r="NU4" s="35"/>
      <c r="NV4" s="35"/>
      <c r="NW4" s="35"/>
      <c r="NX4" s="35"/>
      <c r="NY4" s="35"/>
      <c r="NZ4" s="35"/>
      <c r="OA4" s="35"/>
      <c r="OB4" s="35"/>
      <c r="OC4" s="35"/>
      <c r="OD4" s="35"/>
      <c r="OE4" s="35"/>
      <c r="OF4" s="35"/>
      <c r="OG4" s="35"/>
      <c r="OH4" s="35"/>
      <c r="OI4" s="35"/>
      <c r="OJ4" s="35"/>
      <c r="OK4" s="35"/>
      <c r="OL4" s="35"/>
      <c r="OM4" s="35"/>
      <c r="ON4" s="35"/>
      <c r="OO4" s="35"/>
      <c r="OP4" s="35"/>
      <c r="OQ4" s="35"/>
      <c r="OR4" s="35"/>
      <c r="OS4" s="35"/>
      <c r="OT4" s="35"/>
      <c r="OU4" s="35"/>
      <c r="OV4" s="35"/>
      <c r="OW4" s="35"/>
      <c r="OX4" s="35"/>
      <c r="OY4" s="35"/>
      <c r="OZ4" s="35"/>
      <c r="PA4" s="35"/>
      <c r="PB4" s="35"/>
      <c r="PC4" s="35"/>
      <c r="PD4" s="35"/>
      <c r="PE4" s="35"/>
      <c r="PF4" s="35"/>
      <c r="PG4" s="35"/>
      <c r="PH4" s="35"/>
      <c r="PI4" s="35"/>
      <c r="PJ4" s="35"/>
      <c r="PK4" s="35"/>
      <c r="PL4" s="35"/>
      <c r="PM4" s="35"/>
      <c r="PN4" s="35"/>
      <c r="PO4" s="35"/>
      <c r="PP4" s="35"/>
      <c r="PQ4" s="35"/>
      <c r="PR4" s="35"/>
      <c r="PS4" s="35"/>
      <c r="PT4" s="35"/>
      <c r="PU4" s="35"/>
      <c r="PV4" s="35"/>
      <c r="PW4" s="35"/>
      <c r="PX4" s="35"/>
      <c r="PY4" s="35"/>
      <c r="PZ4" s="35"/>
      <c r="QA4" s="35"/>
      <c r="QB4" s="35"/>
      <c r="QC4" s="35"/>
      <c r="QD4" s="35"/>
      <c r="QE4" s="35"/>
      <c r="QF4" s="35"/>
      <c r="QG4" s="35"/>
      <c r="QH4" s="35"/>
      <c r="QI4" s="35"/>
      <c r="QJ4" s="35"/>
      <c r="QK4" s="35"/>
      <c r="QL4" s="35"/>
      <c r="QM4" s="35"/>
      <c r="QN4" s="35"/>
      <c r="QO4" s="35"/>
      <c r="QP4" s="35"/>
      <c r="QQ4" s="35"/>
      <c r="QR4" s="35"/>
      <c r="QS4" s="35"/>
      <c r="QT4" s="35"/>
      <c r="QU4" s="35"/>
      <c r="QV4" s="35"/>
      <c r="QW4" s="35"/>
      <c r="QX4" s="35"/>
      <c r="QY4" s="35"/>
      <c r="QZ4" s="35"/>
      <c r="RA4" s="35"/>
      <c r="RB4" s="35"/>
      <c r="RC4" s="35"/>
      <c r="RD4" s="35"/>
      <c r="RE4" s="35"/>
      <c r="RF4" s="35"/>
      <c r="RG4" s="35"/>
      <c r="RH4" s="35"/>
      <c r="RI4" s="35"/>
      <c r="RJ4" s="35"/>
      <c r="RK4" s="35"/>
      <c r="RL4" s="35"/>
      <c r="RM4" s="35"/>
      <c r="RN4" s="35"/>
      <c r="RO4" s="35"/>
      <c r="RP4" s="35"/>
      <c r="RQ4" s="35"/>
      <c r="RR4" s="35"/>
      <c r="RS4" s="35"/>
      <c r="RT4" s="35"/>
      <c r="RU4" s="35"/>
      <c r="RV4" s="35"/>
      <c r="RW4" s="35"/>
      <c r="RX4" s="35"/>
      <c r="RY4" s="35"/>
      <c r="RZ4" s="35"/>
      <c r="SA4" s="35"/>
      <c r="SB4" s="35"/>
      <c r="SC4" s="35"/>
      <c r="SD4" s="35"/>
      <c r="SE4" s="35"/>
      <c r="SF4" s="35"/>
      <c r="SG4" s="35"/>
      <c r="SH4" s="35"/>
      <c r="SI4" s="35"/>
      <c r="SJ4" s="35"/>
      <c r="SK4" s="35"/>
      <c r="SL4" s="35"/>
      <c r="SM4" s="35"/>
      <c r="SN4" s="35"/>
      <c r="SO4" s="35"/>
      <c r="SP4" s="35"/>
      <c r="SQ4" s="35"/>
      <c r="SR4" s="35"/>
      <c r="SS4" s="35"/>
      <c r="ST4" s="35"/>
      <c r="SU4" s="35"/>
      <c r="SV4" s="35"/>
      <c r="SW4" s="35"/>
      <c r="SX4" s="35"/>
      <c r="SY4" s="35"/>
      <c r="SZ4" s="35"/>
      <c r="TA4" s="35"/>
      <c r="TB4" s="35"/>
      <c r="TC4" s="35"/>
      <c r="TD4" s="35"/>
      <c r="TE4" s="35"/>
      <c r="TF4" s="35"/>
      <c r="TG4" s="35"/>
      <c r="TH4" s="35"/>
      <c r="TI4" s="35"/>
      <c r="TJ4" s="35"/>
      <c r="TK4" s="35"/>
      <c r="TL4" s="35"/>
      <c r="TM4" s="35"/>
      <c r="TN4" s="35"/>
      <c r="TO4" s="35"/>
      <c r="TP4" s="35"/>
      <c r="TQ4" s="35"/>
      <c r="TR4" s="35"/>
      <c r="TS4" s="35"/>
      <c r="TT4" s="35"/>
      <c r="TU4" s="35"/>
      <c r="TV4" s="35"/>
      <c r="TW4" s="35"/>
      <c r="TX4" s="35"/>
      <c r="TY4" s="35"/>
      <c r="TZ4" s="35"/>
      <c r="UA4" s="35"/>
      <c r="UB4" s="35"/>
      <c r="UC4" s="35"/>
      <c r="UD4" s="35"/>
      <c r="UE4" s="35"/>
      <c r="UF4" s="35"/>
      <c r="UG4" s="35"/>
      <c r="UH4" s="35"/>
      <c r="UI4" s="35"/>
      <c r="UJ4" s="35"/>
      <c r="UK4" s="35"/>
      <c r="UL4" s="35"/>
      <c r="UM4" s="35"/>
      <c r="UN4" s="35"/>
      <c r="UO4" s="35"/>
      <c r="UP4" s="35"/>
      <c r="UQ4" s="35"/>
      <c r="UR4" s="35"/>
      <c r="US4" s="35"/>
      <c r="UT4" s="35"/>
      <c r="UU4" s="35"/>
      <c r="UV4" s="35"/>
      <c r="UW4" s="35"/>
      <c r="UX4" s="35"/>
      <c r="UY4" s="35"/>
      <c r="UZ4" s="35"/>
      <c r="VA4" s="35"/>
      <c r="VB4" s="35"/>
      <c r="VC4" s="35"/>
      <c r="VD4" s="35"/>
      <c r="VE4" s="35"/>
      <c r="VF4" s="35"/>
      <c r="VG4" s="35"/>
      <c r="VH4" s="35"/>
      <c r="VI4" s="35"/>
      <c r="VJ4" s="35"/>
      <c r="VK4" s="35"/>
      <c r="VL4" s="35"/>
      <c r="VM4" s="35"/>
      <c r="VN4" s="35"/>
      <c r="VO4" s="35"/>
      <c r="VP4" s="35"/>
      <c r="VQ4" s="35"/>
      <c r="VR4" s="35"/>
      <c r="VS4" s="35"/>
      <c r="VT4" s="35"/>
      <c r="VU4" s="35"/>
      <c r="VV4" s="35"/>
      <c r="VW4" s="35"/>
      <c r="VX4" s="35"/>
      <c r="VY4" s="35"/>
      <c r="VZ4" s="35"/>
      <c r="WA4" s="35"/>
      <c r="WB4" s="35"/>
      <c r="WC4" s="35"/>
      <c r="WD4" s="35"/>
      <c r="WE4" s="35"/>
      <c r="WF4" s="35"/>
      <c r="WG4" s="35"/>
      <c r="WH4" s="35"/>
      <c r="WI4" s="35"/>
      <c r="WJ4" s="35"/>
      <c r="WK4" s="35"/>
      <c r="WL4" s="35"/>
      <c r="WM4" s="35"/>
      <c r="WN4" s="35"/>
      <c r="WO4" s="35"/>
      <c r="WP4" s="35"/>
      <c r="WQ4" s="35"/>
      <c r="WR4" s="35"/>
      <c r="WS4" s="35"/>
      <c r="WT4" s="35"/>
      <c r="WU4" s="35"/>
      <c r="WV4" s="35"/>
      <c r="WW4" s="35"/>
      <c r="WX4" s="35"/>
      <c r="WY4" s="35"/>
      <c r="WZ4" s="35"/>
      <c r="XA4" s="35"/>
      <c r="XB4" s="35"/>
      <c r="XC4" s="35"/>
      <c r="XD4" s="35"/>
      <c r="XE4" s="35"/>
      <c r="XF4" s="35"/>
      <c r="XG4" s="35"/>
      <c r="XH4" s="35"/>
      <c r="XI4" s="35"/>
      <c r="XJ4" s="35"/>
      <c r="XK4" s="35"/>
      <c r="XL4" s="35"/>
      <c r="XM4" s="35"/>
      <c r="XN4" s="35"/>
      <c r="XO4" s="35"/>
      <c r="XP4" s="35"/>
      <c r="XQ4" s="35"/>
      <c r="XR4" s="35"/>
      <c r="XS4" s="35"/>
      <c r="XT4" s="35"/>
      <c r="XU4" s="35"/>
      <c r="XV4" s="35"/>
      <c r="XW4" s="35"/>
      <c r="XX4" s="35"/>
      <c r="XY4" s="35"/>
      <c r="XZ4" s="35"/>
      <c r="YA4" s="35"/>
      <c r="YB4" s="35"/>
      <c r="YC4" s="35"/>
      <c r="YD4" s="35"/>
      <c r="YE4" s="35"/>
      <c r="YF4" s="35"/>
      <c r="YG4" s="35"/>
      <c r="YH4" s="35"/>
      <c r="YI4" s="35"/>
      <c r="YJ4" s="35"/>
      <c r="YK4" s="35"/>
      <c r="YL4" s="35"/>
      <c r="YM4" s="35"/>
      <c r="YN4" s="35"/>
      <c r="YO4" s="35"/>
      <c r="YP4" s="35"/>
      <c r="YQ4" s="35"/>
      <c r="YR4" s="35"/>
      <c r="YS4" s="35"/>
      <c r="YT4" s="35"/>
      <c r="YU4" s="35"/>
      <c r="YV4" s="35"/>
      <c r="YW4" s="35"/>
      <c r="YX4" s="35"/>
      <c r="YY4" s="35"/>
      <c r="YZ4" s="35"/>
      <c r="ZA4" s="35"/>
      <c r="ZB4" s="35"/>
      <c r="ZC4" s="35"/>
      <c r="ZD4" s="35"/>
      <c r="ZE4" s="35"/>
      <c r="ZF4" s="35"/>
      <c r="ZG4" s="35"/>
      <c r="ZH4" s="35"/>
      <c r="ZI4" s="35"/>
      <c r="ZJ4" s="35"/>
      <c r="ZK4" s="35"/>
      <c r="ZL4" s="35"/>
      <c r="ZM4" s="35"/>
      <c r="ZN4" s="35"/>
      <c r="ZO4" s="35"/>
      <c r="ZP4" s="35"/>
      <c r="ZQ4" s="35"/>
      <c r="ZR4" s="35"/>
      <c r="ZS4" s="35"/>
      <c r="ZT4" s="35"/>
      <c r="ZU4" s="35"/>
      <c r="ZV4" s="35"/>
      <c r="ZW4" s="35"/>
      <c r="ZX4" s="35"/>
      <c r="ZY4" s="35"/>
      <c r="ZZ4" s="35"/>
      <c r="AAA4" s="35"/>
      <c r="AAB4" s="35"/>
      <c r="AAC4" s="35"/>
      <c r="AAD4" s="35"/>
      <c r="AAE4" s="35"/>
      <c r="AAF4" s="35"/>
      <c r="AAG4" s="35"/>
      <c r="AAH4" s="35"/>
      <c r="AAI4" s="35"/>
      <c r="AAJ4" s="35"/>
      <c r="AAK4" s="35"/>
      <c r="AAL4" s="35"/>
      <c r="AAM4" s="35"/>
      <c r="AAN4" s="35"/>
      <c r="AAO4" s="35"/>
      <c r="AAP4" s="35"/>
      <c r="AAQ4" s="35"/>
      <c r="AAR4" s="35"/>
      <c r="AAS4" s="35"/>
      <c r="AAT4" s="35"/>
      <c r="AAU4" s="35"/>
      <c r="AAV4" s="35"/>
      <c r="AAW4" s="35"/>
      <c r="AAX4" s="35"/>
      <c r="AAY4" s="35"/>
      <c r="AAZ4" s="35"/>
      <c r="ABA4" s="35"/>
      <c r="ABB4" s="35"/>
      <c r="ABC4" s="35"/>
      <c r="ABD4" s="35"/>
      <c r="ABE4" s="35"/>
      <c r="ABF4" s="35"/>
      <c r="ABG4" s="35"/>
      <c r="ABH4" s="35"/>
      <c r="ABI4" s="35"/>
      <c r="ABJ4" s="35"/>
      <c r="ABK4" s="35"/>
      <c r="ABL4" s="35"/>
      <c r="ABM4" s="35"/>
      <c r="ABN4" s="35"/>
      <c r="ABO4" s="35"/>
      <c r="ABP4" s="35"/>
      <c r="ABQ4" s="35"/>
      <c r="ABR4" s="35"/>
      <c r="ABS4" s="35"/>
      <c r="ABT4" s="35"/>
      <c r="ABU4" s="35"/>
      <c r="ABV4" s="35"/>
      <c r="ABW4" s="35"/>
      <c r="ABX4" s="35"/>
      <c r="ABY4" s="35"/>
      <c r="ABZ4" s="35"/>
      <c r="ACA4" s="35"/>
      <c r="ACB4" s="35"/>
      <c r="ACC4" s="35"/>
      <c r="ACD4" s="35"/>
      <c r="ACE4" s="35"/>
      <c r="ACF4" s="35"/>
      <c r="ACG4" s="35"/>
      <c r="ACH4" s="35"/>
      <c r="ACI4" s="35"/>
      <c r="ACJ4" s="35"/>
      <c r="ACK4" s="35"/>
      <c r="ACL4" s="35"/>
      <c r="ACM4" s="35"/>
      <c r="ACN4" s="35"/>
      <c r="ACO4" s="35"/>
      <c r="ACP4" s="35"/>
      <c r="ACQ4" s="35"/>
      <c r="ACR4" s="35"/>
      <c r="ACS4" s="35"/>
      <c r="ACT4" s="35"/>
      <c r="ACU4" s="35"/>
      <c r="ACV4" s="35"/>
      <c r="ACW4" s="35"/>
      <c r="ACX4" s="35"/>
      <c r="ACY4" s="35"/>
      <c r="ACZ4" s="35"/>
      <c r="ADA4" s="35"/>
      <c r="ADB4" s="35"/>
      <c r="ADC4" s="35"/>
      <c r="ADD4" s="35"/>
      <c r="ADE4" s="35"/>
      <c r="ADF4" s="35"/>
      <c r="ADG4" s="35"/>
      <c r="ADH4" s="35"/>
      <c r="ADI4" s="35"/>
      <c r="ADJ4" s="35"/>
      <c r="ADK4" s="35"/>
      <c r="ADL4" s="35"/>
      <c r="ADM4" s="35"/>
      <c r="ADN4" s="35"/>
      <c r="ADO4" s="35"/>
      <c r="ADP4" s="35"/>
      <c r="ADQ4" s="35"/>
      <c r="ADR4" s="35"/>
      <c r="ADS4" s="35"/>
      <c r="ADT4" s="35"/>
      <c r="ADU4" s="35"/>
      <c r="ADV4" s="35"/>
      <c r="ADW4" s="35"/>
      <c r="ADX4" s="35"/>
      <c r="ADY4" s="35"/>
      <c r="ADZ4" s="35"/>
      <c r="AEA4" s="35"/>
      <c r="AEB4" s="35"/>
      <c r="AEC4" s="35"/>
      <c r="AED4" s="35"/>
      <c r="AEE4" s="35"/>
      <c r="AEF4" s="35"/>
      <c r="AEG4" s="35"/>
      <c r="AEH4" s="35"/>
      <c r="AEI4" s="35"/>
      <c r="AEJ4" s="35"/>
      <c r="AEK4" s="35"/>
      <c r="AEL4" s="35"/>
      <c r="AEM4" s="35"/>
      <c r="AEN4" s="35"/>
      <c r="AEO4" s="35"/>
      <c r="AEP4" s="35"/>
      <c r="AEQ4" s="35"/>
      <c r="AER4" s="35"/>
      <c r="AES4" s="35"/>
      <c r="AET4" s="35"/>
      <c r="AEU4" s="35"/>
      <c r="AEV4" s="35"/>
      <c r="AEW4" s="35"/>
      <c r="AEX4" s="35"/>
      <c r="AEY4" s="35"/>
      <c r="AEZ4" s="35"/>
      <c r="AFA4" s="35"/>
      <c r="AFB4" s="35"/>
      <c r="AFC4" s="35"/>
      <c r="AFD4" s="35"/>
      <c r="AFE4" s="35"/>
      <c r="AFF4" s="35"/>
      <c r="AFG4" s="35"/>
      <c r="AFH4" s="35"/>
      <c r="AFI4" s="35"/>
      <c r="AFJ4" s="35"/>
      <c r="AFK4" s="35"/>
      <c r="AFL4" s="35"/>
      <c r="AFM4" s="35"/>
      <c r="AFN4" s="35"/>
      <c r="AFO4" s="35"/>
      <c r="AFP4" s="35"/>
      <c r="AFQ4" s="35"/>
      <c r="AFR4" s="35"/>
      <c r="AFS4" s="35"/>
      <c r="AFT4" s="35"/>
      <c r="AFU4" s="35"/>
      <c r="AFV4" s="35"/>
      <c r="AFW4" s="35"/>
      <c r="AFX4" s="35"/>
      <c r="AFY4" s="35"/>
      <c r="AFZ4" s="35"/>
      <c r="AGA4" s="35"/>
      <c r="AGB4" s="35"/>
      <c r="AGC4" s="35"/>
      <c r="AGD4" s="35"/>
      <c r="AGE4" s="35"/>
      <c r="AGF4" s="35"/>
      <c r="AGG4" s="35"/>
      <c r="AGH4" s="35"/>
      <c r="AGI4" s="35"/>
      <c r="AGJ4" s="35"/>
      <c r="AGK4" s="35"/>
      <c r="AGL4" s="35"/>
      <c r="AGM4" s="35"/>
      <c r="AGN4" s="35"/>
      <c r="AGO4" s="35"/>
      <c r="AGP4" s="35"/>
      <c r="AGQ4" s="35"/>
      <c r="AGR4" s="35"/>
      <c r="AGS4" s="35"/>
      <c r="AGT4" s="35"/>
      <c r="AGU4" s="35"/>
      <c r="AGV4" s="35"/>
      <c r="AGW4" s="35"/>
      <c r="AGX4" s="35"/>
      <c r="AGY4" s="35"/>
      <c r="AGZ4" s="35"/>
      <c r="AHA4" s="35"/>
      <c r="AHB4" s="35"/>
      <c r="AHC4" s="35"/>
      <c r="AHD4" s="35"/>
      <c r="AHE4" s="35"/>
      <c r="AHF4" s="35"/>
      <c r="AHG4" s="35"/>
      <c r="AHH4" s="35"/>
      <c r="AHI4" s="35"/>
      <c r="AHJ4" s="35"/>
      <c r="AHK4" s="35"/>
      <c r="AHL4" s="35"/>
      <c r="AHM4" s="35"/>
      <c r="AHN4" s="35"/>
      <c r="AHO4" s="35"/>
      <c r="AHP4" s="35"/>
      <c r="AHQ4" s="35"/>
      <c r="AHR4" s="35"/>
      <c r="AHS4" s="35"/>
      <c r="AHT4" s="35"/>
      <c r="AHU4" s="35"/>
      <c r="AHV4" s="35"/>
      <c r="AHW4" s="35"/>
      <c r="AHX4" s="35"/>
      <c r="AHY4" s="35"/>
      <c r="AHZ4" s="35"/>
      <c r="AIA4" s="35"/>
      <c r="AIB4" s="35"/>
      <c r="AIC4" s="35"/>
      <c r="AID4" s="35"/>
      <c r="AIE4" s="35"/>
      <c r="AIF4" s="35"/>
      <c r="AIG4" s="35"/>
      <c r="AIH4" s="35"/>
      <c r="AII4" s="35"/>
      <c r="AIJ4" s="35"/>
      <c r="AIK4" s="35"/>
      <c r="AIL4" s="35"/>
      <c r="AIM4" s="35"/>
      <c r="AIN4" s="35"/>
      <c r="AIO4" s="35"/>
      <c r="AIP4" s="35"/>
      <c r="AIQ4" s="35"/>
      <c r="AIR4" s="35"/>
      <c r="AIS4" s="35"/>
      <c r="AIT4" s="35"/>
      <c r="AIU4" s="35"/>
      <c r="AIV4" s="35"/>
      <c r="AIW4" s="35"/>
      <c r="AIX4" s="35"/>
      <c r="AIY4" s="35"/>
      <c r="AIZ4" s="35"/>
      <c r="AJA4" s="35"/>
      <c r="AJB4" s="35"/>
      <c r="AJC4" s="35"/>
    </row>
    <row r="5" spans="1:939" s="27" customFormat="1" ht="60" customHeight="1" outlineLevel="1" x14ac:dyDescent="0.25">
      <c r="A5" s="373">
        <v>1</v>
      </c>
      <c r="B5" s="375" t="s">
        <v>27</v>
      </c>
      <c r="C5" s="37" t="s">
        <v>40</v>
      </c>
      <c r="D5" s="377" t="s">
        <v>61</v>
      </c>
      <c r="E5" s="377" t="s">
        <v>30</v>
      </c>
      <c r="F5" s="38">
        <v>7300000</v>
      </c>
      <c r="G5" s="38">
        <v>5822389.5</v>
      </c>
      <c r="H5" s="39">
        <v>7.4999999999999997E-3</v>
      </c>
      <c r="I5" s="308"/>
      <c r="J5" s="337">
        <f t="shared" ref="J5:J15" si="0">G5-I5</f>
        <v>5822389.5</v>
      </c>
      <c r="K5" s="379" t="s">
        <v>39</v>
      </c>
      <c r="L5" s="322" t="s">
        <v>76</v>
      </c>
      <c r="M5" s="40" t="s">
        <v>30</v>
      </c>
      <c r="N5" s="340">
        <v>7300000</v>
      </c>
      <c r="O5" s="340">
        <f t="shared" ref="O5:O21" si="1">IF(M5=$B$150,N5,IF(M5=$B$152,N5*$C$152/$C$150,IF(M5=$B$151,N5*$C$151/$C$150,IF(M5=$B$149,N5/$C$150))))</f>
        <v>8077447.5654042829</v>
      </c>
      <c r="P5" s="7">
        <f>5822389.5+13412.1+4470.7+716451.75+24588.85+716451.75+2235.35</f>
        <v>7299999.9999999991</v>
      </c>
      <c r="Q5" s="39" t="s">
        <v>97</v>
      </c>
      <c r="R5" s="1">
        <f>595000+119000+119000+119000+119000+119000</f>
        <v>1190000</v>
      </c>
      <c r="S5" s="1">
        <v>652083.5</v>
      </c>
      <c r="T5" s="340">
        <f t="shared" ref="T5:T33" si="2">P5-R5</f>
        <v>6109999.9999999991</v>
      </c>
      <c r="U5" s="340">
        <f t="shared" ref="U5:U22" si="3">IF(M5=$B$150,T5,IF(M5=$B$152,T5*$C$152/$C$150,IF(M5=$B$151,T5*$C$151/$C$150,IF(M5=$B$149,T5/$C$150))))</f>
        <v>6760712.9622767344</v>
      </c>
      <c r="V5" s="333" t="s">
        <v>108</v>
      </c>
      <c r="W5" s="41"/>
      <c r="X5" s="26"/>
      <c r="Y5" s="26"/>
    </row>
    <row r="6" spans="1:939" s="27" customFormat="1" ht="75.75" customHeight="1" outlineLevel="1" x14ac:dyDescent="0.25">
      <c r="A6" s="374"/>
      <c r="B6" s="376"/>
      <c r="C6" s="42" t="s">
        <v>41</v>
      </c>
      <c r="D6" s="378"/>
      <c r="E6" s="378"/>
      <c r="F6" s="43">
        <v>7300000</v>
      </c>
      <c r="G6" s="43">
        <v>7300000</v>
      </c>
      <c r="H6" s="328" t="s">
        <v>62</v>
      </c>
      <c r="I6" s="327"/>
      <c r="J6" s="314">
        <f t="shared" si="0"/>
        <v>7300000</v>
      </c>
      <c r="K6" s="380"/>
      <c r="L6" s="326" t="s">
        <v>75</v>
      </c>
      <c r="M6" s="317" t="s">
        <v>30</v>
      </c>
      <c r="N6" s="7">
        <v>7300000</v>
      </c>
      <c r="O6" s="7">
        <f t="shared" si="1"/>
        <v>8077447.5654042829</v>
      </c>
      <c r="P6" s="7">
        <v>7299999.9999999981</v>
      </c>
      <c r="Q6" s="328" t="s">
        <v>62</v>
      </c>
      <c r="R6" s="1">
        <f>5474999.9+304166.7+304166.7+304166.7+304166.7+304166.7</f>
        <v>6995833.4000000013</v>
      </c>
      <c r="S6" s="1">
        <f>1226756+8356.16</f>
        <v>1235112.1599999999</v>
      </c>
      <c r="T6" s="7">
        <f t="shared" si="2"/>
        <v>304166.59999999683</v>
      </c>
      <c r="U6" s="7">
        <f t="shared" si="3"/>
        <v>336560.24145853054</v>
      </c>
      <c r="V6" s="44" t="s">
        <v>36</v>
      </c>
      <c r="W6" s="45"/>
      <c r="X6" s="26"/>
      <c r="Y6" s="26"/>
    </row>
    <row r="7" spans="1:939" s="27" customFormat="1" ht="64.5" customHeight="1" outlineLevel="1" x14ac:dyDescent="0.25">
      <c r="A7" s="315">
        <v>2</v>
      </c>
      <c r="B7" s="316" t="s">
        <v>27</v>
      </c>
      <c r="C7" s="316" t="s">
        <v>37</v>
      </c>
      <c r="D7" s="326" t="s">
        <v>61</v>
      </c>
      <c r="E7" s="317" t="s">
        <v>30</v>
      </c>
      <c r="F7" s="43">
        <v>14060527</v>
      </c>
      <c r="G7" s="43">
        <v>14060527</v>
      </c>
      <c r="H7" s="46">
        <v>7.4999999999999997E-3</v>
      </c>
      <c r="I7" s="43">
        <v>3044232</v>
      </c>
      <c r="J7" s="314">
        <f t="shared" si="0"/>
        <v>11016295</v>
      </c>
      <c r="K7" s="319" t="s">
        <v>38</v>
      </c>
      <c r="L7" s="326" t="s">
        <v>77</v>
      </c>
      <c r="M7" s="317" t="s">
        <v>30</v>
      </c>
      <c r="N7" s="7">
        <v>14060526.73</v>
      </c>
      <c r="O7" s="7">
        <f t="shared" si="1"/>
        <v>15557968.137471279</v>
      </c>
      <c r="P7" s="7">
        <v>14060526.73</v>
      </c>
      <c r="Q7" s="46">
        <v>7.4999999999999997E-3</v>
      </c>
      <c r="R7" s="1">
        <f>5858552.73979552+234342.1+234342.1+98055764.9/418.43+98932204.4/422.17+104987604.2/448.01</f>
        <v>7030263.2398433303</v>
      </c>
      <c r="S7" s="1">
        <f>1294472.69934396+40254.3+39195.3+16095956/418.43+15796672.6/422.17+16433280.1/448.01</f>
        <v>1486488.2092536527</v>
      </c>
      <c r="T7" s="7">
        <f t="shared" si="2"/>
        <v>7030263.4901566701</v>
      </c>
      <c r="U7" s="7">
        <f t="shared" si="3"/>
        <v>7778984.2072214531</v>
      </c>
      <c r="V7" s="44" t="s">
        <v>108</v>
      </c>
      <c r="W7" s="45"/>
      <c r="X7" s="26"/>
      <c r="Y7" s="26"/>
    </row>
    <row r="8" spans="1:939" s="27" customFormat="1" ht="67.5" outlineLevel="1" x14ac:dyDescent="0.25">
      <c r="A8" s="315">
        <v>3</v>
      </c>
      <c r="B8" s="316" t="s">
        <v>27</v>
      </c>
      <c r="C8" s="316" t="s">
        <v>33</v>
      </c>
      <c r="D8" s="326" t="s">
        <v>61</v>
      </c>
      <c r="E8" s="317" t="s">
        <v>30</v>
      </c>
      <c r="F8" s="43">
        <v>75000000</v>
      </c>
      <c r="G8" s="43">
        <v>0</v>
      </c>
      <c r="H8" s="46">
        <v>1.8499999999999999E-2</v>
      </c>
      <c r="I8" s="327"/>
      <c r="J8" s="314">
        <f t="shared" si="0"/>
        <v>0</v>
      </c>
      <c r="K8" s="319" t="s">
        <v>34</v>
      </c>
      <c r="L8" s="326" t="s">
        <v>78</v>
      </c>
      <c r="M8" s="317" t="s">
        <v>30</v>
      </c>
      <c r="N8" s="7">
        <v>75000000</v>
      </c>
      <c r="O8" s="7">
        <f t="shared" si="1"/>
        <v>82987474.987030312</v>
      </c>
      <c r="P8" s="7"/>
      <c r="Q8" s="46" t="s">
        <v>240</v>
      </c>
      <c r="R8" s="7"/>
      <c r="S8" s="1">
        <f>1932812.5+93750+93750+93750+93750+42000937.5/448.01</f>
        <v>2401562.5</v>
      </c>
      <c r="T8" s="7">
        <f t="shared" si="2"/>
        <v>0</v>
      </c>
      <c r="U8" s="7">
        <f t="shared" si="3"/>
        <v>0</v>
      </c>
      <c r="V8" s="44" t="s">
        <v>36</v>
      </c>
      <c r="W8" s="45"/>
      <c r="X8" s="26"/>
      <c r="Y8" s="26"/>
    </row>
    <row r="9" spans="1:939" s="27" customFormat="1" ht="57.75" customHeight="1" outlineLevel="1" x14ac:dyDescent="0.25">
      <c r="A9" s="383">
        <v>4</v>
      </c>
      <c r="B9" s="384" t="s">
        <v>27</v>
      </c>
      <c r="C9" s="384" t="s">
        <v>33</v>
      </c>
      <c r="D9" s="326" t="s">
        <v>61</v>
      </c>
      <c r="E9" s="317" t="s">
        <v>30</v>
      </c>
      <c r="F9" s="43">
        <v>10200000</v>
      </c>
      <c r="G9" s="43">
        <v>0</v>
      </c>
      <c r="H9" s="46">
        <v>7.4999999999999997E-3</v>
      </c>
      <c r="I9" s="328"/>
      <c r="J9" s="314">
        <f t="shared" si="0"/>
        <v>0</v>
      </c>
      <c r="K9" s="385" t="s">
        <v>34</v>
      </c>
      <c r="L9" s="386" t="s">
        <v>79</v>
      </c>
      <c r="M9" s="317" t="s">
        <v>30</v>
      </c>
      <c r="N9" s="7">
        <v>10200000</v>
      </c>
      <c r="O9" s="7">
        <f t="shared" si="1"/>
        <v>11286296.598236121</v>
      </c>
      <c r="P9" s="7">
        <f>1075381.69+59500</f>
        <v>1134881.69</v>
      </c>
      <c r="Q9" s="387" t="s">
        <v>97</v>
      </c>
      <c r="R9" s="7">
        <v>0</v>
      </c>
      <c r="S9" s="1">
        <f>200690.672577969+15587.2+6522152.1/418.43+6580448.3/422.17+6983221.5/448.01</f>
        <v>263039.47283004946</v>
      </c>
      <c r="T9" s="7">
        <f>P9-R9</f>
        <v>1134881.69</v>
      </c>
      <c r="U9" s="7">
        <f t="shared" si="3"/>
        <v>1255746.2114948491</v>
      </c>
      <c r="V9" s="381" t="s">
        <v>36</v>
      </c>
      <c r="W9" s="45"/>
      <c r="X9" s="26"/>
      <c r="Y9" s="26"/>
    </row>
    <row r="10" spans="1:939" s="27" customFormat="1" ht="57.75" customHeight="1" outlineLevel="1" x14ac:dyDescent="0.25">
      <c r="A10" s="373"/>
      <c r="B10" s="376"/>
      <c r="C10" s="376"/>
      <c r="D10" s="326"/>
      <c r="E10" s="317"/>
      <c r="F10" s="43"/>
      <c r="G10" s="43"/>
      <c r="H10" s="46"/>
      <c r="I10" s="328"/>
      <c r="J10" s="314"/>
      <c r="K10" s="379"/>
      <c r="L10" s="377"/>
      <c r="M10" s="317" t="s">
        <v>51</v>
      </c>
      <c r="N10" s="7"/>
      <c r="O10" s="7">
        <f t="shared" si="1"/>
        <v>0</v>
      </c>
      <c r="P10" s="7">
        <v>244081445</v>
      </c>
      <c r="Q10" s="388"/>
      <c r="R10" s="7"/>
      <c r="S10" s="1">
        <f>9774294.3+915305.4+915305.4+915305.4</f>
        <v>12520210.500000002</v>
      </c>
      <c r="T10" s="7">
        <f>P10-R10</f>
        <v>244081445</v>
      </c>
      <c r="U10" s="7">
        <f t="shared" si="3"/>
        <v>602982.89236394176</v>
      </c>
      <c r="V10" s="382"/>
      <c r="W10" s="45"/>
      <c r="X10" s="26"/>
      <c r="Y10" s="26"/>
    </row>
    <row r="11" spans="1:939" s="27" customFormat="1" ht="76.5" customHeight="1" outlineLevel="1" x14ac:dyDescent="0.25">
      <c r="A11" s="383">
        <v>5</v>
      </c>
      <c r="B11" s="384" t="s">
        <v>27</v>
      </c>
      <c r="C11" s="384" t="s">
        <v>186</v>
      </c>
      <c r="D11" s="326"/>
      <c r="E11" s="317"/>
      <c r="F11" s="43"/>
      <c r="G11" s="43"/>
      <c r="H11" s="46"/>
      <c r="I11" s="328"/>
      <c r="J11" s="314"/>
      <c r="K11" s="385" t="s">
        <v>190</v>
      </c>
      <c r="L11" s="386" t="s">
        <v>305</v>
      </c>
      <c r="M11" s="317" t="s">
        <v>30</v>
      </c>
      <c r="N11" s="7">
        <v>10000000</v>
      </c>
      <c r="O11" s="7">
        <f t="shared" si="1"/>
        <v>11064996.664937375</v>
      </c>
      <c r="P11" s="7"/>
      <c r="Q11" s="387" t="s">
        <v>98</v>
      </c>
      <c r="R11" s="7"/>
      <c r="S11" s="7">
        <v>50000</v>
      </c>
      <c r="T11" s="7">
        <f>P11-R11</f>
        <v>0</v>
      </c>
      <c r="U11" s="7">
        <f t="shared" si="3"/>
        <v>0</v>
      </c>
      <c r="V11" s="381" t="s">
        <v>196</v>
      </c>
      <c r="W11" s="45"/>
      <c r="X11" s="26"/>
      <c r="Y11" s="26"/>
    </row>
    <row r="12" spans="1:939" s="27" customFormat="1" ht="76.5" customHeight="1" outlineLevel="1" x14ac:dyDescent="0.25">
      <c r="A12" s="373"/>
      <c r="B12" s="376"/>
      <c r="C12" s="376"/>
      <c r="D12" s="326"/>
      <c r="E12" s="317"/>
      <c r="F12" s="43"/>
      <c r="G12" s="43"/>
      <c r="H12" s="46"/>
      <c r="I12" s="328"/>
      <c r="J12" s="314"/>
      <c r="K12" s="379"/>
      <c r="L12" s="377"/>
      <c r="M12" s="326" t="s">
        <v>51</v>
      </c>
      <c r="N12" s="7"/>
      <c r="O12" s="7">
        <f t="shared" si="1"/>
        <v>0</v>
      </c>
      <c r="P12" s="7"/>
      <c r="Q12" s="388"/>
      <c r="R12" s="7"/>
      <c r="S12" s="7"/>
      <c r="T12" s="7">
        <f t="shared" si="2"/>
        <v>0</v>
      </c>
      <c r="U12" s="7">
        <f t="shared" si="3"/>
        <v>0</v>
      </c>
      <c r="V12" s="382"/>
      <c r="W12" s="45"/>
      <c r="X12" s="26"/>
      <c r="Y12" s="26"/>
    </row>
    <row r="13" spans="1:939" s="27" customFormat="1" ht="76.5" customHeight="1" outlineLevel="1" x14ac:dyDescent="0.25">
      <c r="A13" s="383">
        <v>6</v>
      </c>
      <c r="B13" s="384" t="s">
        <v>27</v>
      </c>
      <c r="C13" s="384" t="s">
        <v>187</v>
      </c>
      <c r="D13" s="326"/>
      <c r="E13" s="317"/>
      <c r="F13" s="43"/>
      <c r="G13" s="43"/>
      <c r="H13" s="46"/>
      <c r="I13" s="328"/>
      <c r="J13" s="314"/>
      <c r="K13" s="385" t="s">
        <v>189</v>
      </c>
      <c r="L13" s="386" t="s">
        <v>188</v>
      </c>
      <c r="M13" s="317" t="s">
        <v>30</v>
      </c>
      <c r="N13" s="7">
        <v>83000000</v>
      </c>
      <c r="O13" s="7">
        <f t="shared" si="1"/>
        <v>91839472.318980202</v>
      </c>
      <c r="P13" s="7"/>
      <c r="Q13" s="387">
        <v>1.7999999999999999E-2</v>
      </c>
      <c r="R13" s="7"/>
      <c r="S13" s="1">
        <f>1930326.40003794+103750+103750+103750+103750+46481037.5/448.01</f>
        <v>2449076.4000379397</v>
      </c>
      <c r="T13" s="7">
        <f t="shared" si="2"/>
        <v>0</v>
      </c>
      <c r="U13" s="7">
        <f t="shared" si="3"/>
        <v>0</v>
      </c>
      <c r="V13" s="381" t="s">
        <v>36</v>
      </c>
      <c r="W13" s="45"/>
      <c r="X13" s="26"/>
      <c r="Y13" s="26"/>
    </row>
    <row r="14" spans="1:939" s="27" customFormat="1" ht="76.5" customHeight="1" outlineLevel="1" x14ac:dyDescent="0.25">
      <c r="A14" s="373"/>
      <c r="B14" s="376"/>
      <c r="C14" s="376"/>
      <c r="D14" s="326"/>
      <c r="E14" s="317"/>
      <c r="F14" s="43"/>
      <c r="G14" s="43"/>
      <c r="H14" s="46"/>
      <c r="I14" s="328"/>
      <c r="J14" s="314"/>
      <c r="K14" s="379"/>
      <c r="L14" s="377"/>
      <c r="M14" s="326" t="s">
        <v>51</v>
      </c>
      <c r="N14" s="7"/>
      <c r="O14" s="7">
        <f t="shared" si="1"/>
        <v>0</v>
      </c>
      <c r="P14" s="7"/>
      <c r="Q14" s="388"/>
      <c r="R14" s="7"/>
      <c r="S14" s="7"/>
      <c r="T14" s="7">
        <f t="shared" si="2"/>
        <v>0</v>
      </c>
      <c r="U14" s="7">
        <f t="shared" si="3"/>
        <v>0</v>
      </c>
      <c r="V14" s="382"/>
      <c r="W14" s="45"/>
      <c r="X14" s="47"/>
      <c r="Y14" s="26"/>
    </row>
    <row r="15" spans="1:939" s="27" customFormat="1" ht="96.75" customHeight="1" outlineLevel="1" x14ac:dyDescent="0.25">
      <c r="A15" s="374">
        <v>7</v>
      </c>
      <c r="B15" s="384" t="s">
        <v>27</v>
      </c>
      <c r="C15" s="384" t="s">
        <v>47</v>
      </c>
      <c r="D15" s="378" t="s">
        <v>48</v>
      </c>
      <c r="E15" s="390" t="s">
        <v>26</v>
      </c>
      <c r="F15" s="391">
        <v>39000000</v>
      </c>
      <c r="G15" s="391">
        <f>18026903.76+130476.4+43674.47+204502+159552.28+20280.3+101559+88268.89+153855.7+63854.08</f>
        <v>18992926.879999999</v>
      </c>
      <c r="H15" s="390" t="s">
        <v>63</v>
      </c>
      <c r="I15" s="389"/>
      <c r="J15" s="389">
        <f t="shared" si="0"/>
        <v>18992926.879999999</v>
      </c>
      <c r="K15" s="380" t="s">
        <v>49</v>
      </c>
      <c r="L15" s="378" t="s">
        <v>90</v>
      </c>
      <c r="M15" s="317" t="s">
        <v>26</v>
      </c>
      <c r="N15" s="7">
        <f>35500000-1434414.8</f>
        <v>34065585.200000003</v>
      </c>
      <c r="O15" s="7">
        <f t="shared" si="1"/>
        <v>34065585.200000003</v>
      </c>
      <c r="P15" s="7">
        <v>34065585.200000003</v>
      </c>
      <c r="Q15" s="390" t="s">
        <v>399</v>
      </c>
      <c r="R15" s="7">
        <f>3406558.5+438685248.4/386.33+457603003.3/402.99</f>
        <v>5677597.4998969967</v>
      </c>
      <c r="S15" s="7">
        <f>6927866.15+372600334/386.33+433310604.9/402.99</f>
        <v>8967566.5499026012</v>
      </c>
      <c r="T15" s="7">
        <f t="shared" si="2"/>
        <v>28387987.700103007</v>
      </c>
      <c r="U15" s="7">
        <f t="shared" si="3"/>
        <v>28387987.700103007</v>
      </c>
      <c r="V15" s="381" t="s">
        <v>31</v>
      </c>
      <c r="W15" s="384" t="s">
        <v>362</v>
      </c>
      <c r="X15" s="47"/>
      <c r="Y15" s="26"/>
    </row>
    <row r="16" spans="1:939" s="27" customFormat="1" ht="68.25" customHeight="1" outlineLevel="1" x14ac:dyDescent="0.25">
      <c r="A16" s="374"/>
      <c r="B16" s="376"/>
      <c r="C16" s="376"/>
      <c r="D16" s="378"/>
      <c r="E16" s="390"/>
      <c r="F16" s="391"/>
      <c r="G16" s="391"/>
      <c r="H16" s="390"/>
      <c r="I16" s="389"/>
      <c r="J16" s="389"/>
      <c r="K16" s="380"/>
      <c r="L16" s="378"/>
      <c r="M16" s="326" t="s">
        <v>51</v>
      </c>
      <c r="N16" s="7"/>
      <c r="O16" s="7">
        <f t="shared" si="1"/>
        <v>0</v>
      </c>
      <c r="P16" s="7">
        <v>3680136115.8000002</v>
      </c>
      <c r="Q16" s="390"/>
      <c r="R16" s="7">
        <f>387003402.1+121967878.3+121967878.3</f>
        <v>630939158.70000005</v>
      </c>
      <c r="S16" s="7">
        <f>743758864.24+103594252.5+115493072.7</f>
        <v>962846189.44000006</v>
      </c>
      <c r="T16" s="7">
        <f t="shared" si="2"/>
        <v>3049196957.1000004</v>
      </c>
      <c r="U16" s="7">
        <f t="shared" si="3"/>
        <v>7532787.2652486479</v>
      </c>
      <c r="V16" s="382"/>
      <c r="W16" s="376"/>
      <c r="X16" s="47"/>
      <c r="Y16" s="26"/>
    </row>
    <row r="17" spans="1:24" s="26" customFormat="1" ht="81" customHeight="1" outlineLevel="1" x14ac:dyDescent="0.25">
      <c r="A17" s="383">
        <v>8</v>
      </c>
      <c r="B17" s="384" t="s">
        <v>27</v>
      </c>
      <c r="C17" s="384" t="s">
        <v>50</v>
      </c>
      <c r="D17" s="386" t="s">
        <v>48</v>
      </c>
      <c r="E17" s="328" t="s">
        <v>26</v>
      </c>
      <c r="F17" s="43">
        <v>40000000</v>
      </c>
      <c r="G17" s="314">
        <v>100000</v>
      </c>
      <c r="H17" s="328" t="s">
        <v>63</v>
      </c>
      <c r="I17" s="314">
        <v>0</v>
      </c>
      <c r="J17" s="314">
        <f>G17-I17</f>
        <v>100000</v>
      </c>
      <c r="K17" s="385" t="s">
        <v>28</v>
      </c>
      <c r="L17" s="385" t="s">
        <v>91</v>
      </c>
      <c r="M17" s="317" t="s">
        <v>26</v>
      </c>
      <c r="N17" s="43">
        <f>40000000-2500000-1500000</f>
        <v>36000000</v>
      </c>
      <c r="O17" s="7">
        <f t="shared" si="1"/>
        <v>36000000</v>
      </c>
      <c r="P17" s="1">
        <v>25696827.510000002</v>
      </c>
      <c r="Q17" s="46" t="s">
        <v>399</v>
      </c>
      <c r="R17" s="7">
        <v>0</v>
      </c>
      <c r="S17" s="7">
        <v>4091306.4512348948</v>
      </c>
      <c r="T17" s="7">
        <f t="shared" si="2"/>
        <v>25696827.510000002</v>
      </c>
      <c r="U17" s="7">
        <f t="shared" si="3"/>
        <v>25696827.510000002</v>
      </c>
      <c r="V17" s="381" t="s">
        <v>31</v>
      </c>
      <c r="W17" s="384" t="s">
        <v>363</v>
      </c>
      <c r="X17" s="47"/>
    </row>
    <row r="18" spans="1:24" s="26" customFormat="1" ht="39.75" customHeight="1" outlineLevel="1" x14ac:dyDescent="0.25">
      <c r="A18" s="373"/>
      <c r="B18" s="376"/>
      <c r="C18" s="376"/>
      <c r="D18" s="377"/>
      <c r="E18" s="328"/>
      <c r="F18" s="43"/>
      <c r="G18" s="314"/>
      <c r="H18" s="328"/>
      <c r="I18" s="314"/>
      <c r="J18" s="314"/>
      <c r="K18" s="379"/>
      <c r="L18" s="379"/>
      <c r="M18" s="326" t="s">
        <v>51</v>
      </c>
      <c r="N18" s="43"/>
      <c r="O18" s="7">
        <f t="shared" si="1"/>
        <v>0</v>
      </c>
      <c r="P18" s="1">
        <v>1009149275.1</v>
      </c>
      <c r="Q18" s="46"/>
      <c r="R18" s="7">
        <v>563212.19999999995</v>
      </c>
      <c r="S18" s="7">
        <v>165583419.29999998</v>
      </c>
      <c r="T18" s="7">
        <f t="shared" si="2"/>
        <v>1008586062.9</v>
      </c>
      <c r="U18" s="7">
        <f t="shared" si="3"/>
        <v>2491627.9129919214</v>
      </c>
      <c r="V18" s="382"/>
      <c r="W18" s="376"/>
      <c r="X18" s="47"/>
    </row>
    <row r="19" spans="1:24" s="26" customFormat="1" ht="70.5" customHeight="1" outlineLevel="1" x14ac:dyDescent="0.25">
      <c r="A19" s="383">
        <v>9</v>
      </c>
      <c r="B19" s="392" t="s">
        <v>27</v>
      </c>
      <c r="C19" s="384" t="s">
        <v>142</v>
      </c>
      <c r="D19" s="386" t="s">
        <v>48</v>
      </c>
      <c r="E19" s="390" t="s">
        <v>26</v>
      </c>
      <c r="F19" s="391">
        <v>52000000</v>
      </c>
      <c r="G19" s="389">
        <v>130000</v>
      </c>
      <c r="H19" s="390" t="s">
        <v>63</v>
      </c>
      <c r="I19" s="389"/>
      <c r="J19" s="389">
        <f>G19-I19</f>
        <v>130000</v>
      </c>
      <c r="K19" s="385" t="s">
        <v>143</v>
      </c>
      <c r="L19" s="385" t="s">
        <v>218</v>
      </c>
      <c r="M19" s="317" t="s">
        <v>26</v>
      </c>
      <c r="N19" s="43">
        <v>23194486</v>
      </c>
      <c r="O19" s="7">
        <f t="shared" si="1"/>
        <v>23194486</v>
      </c>
      <c r="P19" s="1">
        <v>13607506.780000001</v>
      </c>
      <c r="Q19" s="387" t="s">
        <v>399</v>
      </c>
      <c r="R19" s="7">
        <v>0</v>
      </c>
      <c r="S19" s="7">
        <f>1316813.632+122778919.2/386.33+153358408.7/402.99</f>
        <v>2015173.4321072174</v>
      </c>
      <c r="T19" s="7">
        <f t="shared" si="2"/>
        <v>13607506.780000001</v>
      </c>
      <c r="U19" s="7">
        <f t="shared" si="3"/>
        <v>13607506.780000001</v>
      </c>
      <c r="V19" s="381" t="s">
        <v>31</v>
      </c>
      <c r="W19" s="384" t="s">
        <v>364</v>
      </c>
      <c r="X19" s="47"/>
    </row>
    <row r="20" spans="1:24" s="26" customFormat="1" ht="54.75" customHeight="1" outlineLevel="1" x14ac:dyDescent="0.25">
      <c r="A20" s="373"/>
      <c r="B20" s="393"/>
      <c r="C20" s="394"/>
      <c r="D20" s="395"/>
      <c r="E20" s="390"/>
      <c r="F20" s="391"/>
      <c r="G20" s="389"/>
      <c r="H20" s="390"/>
      <c r="I20" s="389"/>
      <c r="J20" s="389"/>
      <c r="K20" s="379"/>
      <c r="L20" s="379"/>
      <c r="M20" s="326" t="s">
        <v>51</v>
      </c>
      <c r="N20" s="43"/>
      <c r="O20" s="7">
        <f t="shared" si="1"/>
        <v>0</v>
      </c>
      <c r="P20" s="1">
        <v>1673505397.0999999</v>
      </c>
      <c r="Q20" s="396"/>
      <c r="R20" s="7">
        <v>91463799.799999997</v>
      </c>
      <c r="S20" s="7">
        <f>119885553.7+36155098.5+43333756.7</f>
        <v>199374408.89999998</v>
      </c>
      <c r="T20" s="7">
        <f t="shared" si="2"/>
        <v>1582041597.3</v>
      </c>
      <c r="U20" s="7">
        <f t="shared" si="3"/>
        <v>3908302.0758912023</v>
      </c>
      <c r="V20" s="382"/>
      <c r="W20" s="376"/>
      <c r="X20" s="47"/>
    </row>
    <row r="21" spans="1:24" s="26" customFormat="1" ht="60" customHeight="1" outlineLevel="1" x14ac:dyDescent="0.25">
      <c r="A21" s="383">
        <v>10</v>
      </c>
      <c r="B21" s="392" t="s">
        <v>144</v>
      </c>
      <c r="C21" s="394"/>
      <c r="D21" s="395"/>
      <c r="E21" s="390"/>
      <c r="F21" s="391"/>
      <c r="G21" s="389"/>
      <c r="H21" s="390"/>
      <c r="I21" s="389"/>
      <c r="J21" s="389"/>
      <c r="K21" s="385" t="s">
        <v>165</v>
      </c>
      <c r="L21" s="385" t="s">
        <v>218</v>
      </c>
      <c r="M21" s="317" t="s">
        <v>26</v>
      </c>
      <c r="N21" s="7">
        <v>16662617.070000002</v>
      </c>
      <c r="O21" s="7">
        <f t="shared" si="1"/>
        <v>16662617.070000002</v>
      </c>
      <c r="P21" s="7">
        <v>16662617.070000002</v>
      </c>
      <c r="Q21" s="396"/>
      <c r="R21" s="7"/>
      <c r="S21" s="7">
        <f>2194958+182027405/386.38+218562808/403.19</f>
        <v>3208151.702122347</v>
      </c>
      <c r="T21" s="7">
        <f t="shared" si="2"/>
        <v>16662617.070000002</v>
      </c>
      <c r="U21" s="7">
        <f t="shared" si="3"/>
        <v>16662617.070000002</v>
      </c>
      <c r="V21" s="381" t="s">
        <v>31</v>
      </c>
      <c r="W21" s="384" t="s">
        <v>365</v>
      </c>
      <c r="X21" s="47"/>
    </row>
    <row r="22" spans="1:24" s="26" customFormat="1" ht="40.5" customHeight="1" outlineLevel="1" x14ac:dyDescent="0.25">
      <c r="A22" s="373"/>
      <c r="B22" s="393"/>
      <c r="C22" s="376"/>
      <c r="D22" s="377"/>
      <c r="E22" s="323"/>
      <c r="F22" s="325"/>
      <c r="G22" s="335"/>
      <c r="H22" s="323"/>
      <c r="I22" s="335"/>
      <c r="J22" s="335"/>
      <c r="K22" s="379"/>
      <c r="L22" s="379"/>
      <c r="M22" s="317" t="s">
        <v>51</v>
      </c>
      <c r="N22" s="48"/>
      <c r="O22" s="7"/>
      <c r="P22" s="7">
        <v>2003005775.2</v>
      </c>
      <c r="Q22" s="388"/>
      <c r="R22" s="7"/>
      <c r="S22" s="7">
        <f>238604865.8+56631905+65163658.9</f>
        <v>360400429.69999999</v>
      </c>
      <c r="T22" s="7">
        <f t="shared" si="2"/>
        <v>2003005775.2</v>
      </c>
      <c r="U22" s="7">
        <f t="shared" si="3"/>
        <v>4948259.0360433804</v>
      </c>
      <c r="V22" s="382"/>
      <c r="W22" s="376"/>
      <c r="X22" s="47"/>
    </row>
    <row r="23" spans="1:24" s="26" customFormat="1" ht="57.75" customHeight="1" outlineLevel="1" x14ac:dyDescent="0.25">
      <c r="A23" s="383">
        <v>11</v>
      </c>
      <c r="B23" s="392" t="s">
        <v>27</v>
      </c>
      <c r="C23" s="384" t="s">
        <v>24</v>
      </c>
      <c r="D23" s="386" t="s">
        <v>25</v>
      </c>
      <c r="E23" s="400" t="s">
        <v>64</v>
      </c>
      <c r="F23" s="403">
        <v>24022000</v>
      </c>
      <c r="G23" s="397">
        <f>P23+P25</f>
        <v>18384172.012149811</v>
      </c>
      <c r="H23" s="400">
        <v>0.02</v>
      </c>
      <c r="I23" s="397">
        <v>0</v>
      </c>
      <c r="J23" s="397">
        <f>G23-I23</f>
        <v>18384172.012149811</v>
      </c>
      <c r="K23" s="385" t="s">
        <v>28</v>
      </c>
      <c r="L23" s="386" t="s">
        <v>92</v>
      </c>
      <c r="M23" s="317" t="s">
        <v>216</v>
      </c>
      <c r="N23" s="49">
        <v>13988153</v>
      </c>
      <c r="O23" s="7">
        <f t="shared" ref="O23:O46" si="4">IF(M23=$B$150,N23,IF(M23=$B$152,N23*$C$152/$C$150,IF(M23=$B$151,N23*$C$151/$C$150,IF(M23=$B$153,N23*$C$153/$C$150,IF(M23=$B$149,N23/$C$150)))))</f>
        <v>18767326.299488623</v>
      </c>
      <c r="P23" s="7">
        <v>8262785.6411363389</v>
      </c>
      <c r="Q23" s="387">
        <v>3.1399999999999997E-2</v>
      </c>
      <c r="R23" s="7">
        <f>1430873.60020494+107795234.9/520.68+109739226/530.07</f>
        <v>1844929.200299131</v>
      </c>
      <c r="S23" s="7">
        <f>1219413.93+55848657.5/520.68+55104222/530.07</f>
        <v>1430631.4301233056</v>
      </c>
      <c r="T23" s="7">
        <f t="shared" si="2"/>
        <v>6417856.4408372082</v>
      </c>
      <c r="U23" s="7">
        <f t="shared" ref="U23:U46" si="5">IF(M23=$B$150,T23,IF(M23=$B$152,T23*$C$152/$C$150,IF(M23=$B$151,T23*$C$151/$C$150,IF(M23=$B$153,T23*$C$153/$C$150,IF(M23=$B$149,T23/$C$150)))))</f>
        <v>8610572.5300878957</v>
      </c>
      <c r="V23" s="381" t="s">
        <v>31</v>
      </c>
      <c r="W23" s="384" t="s">
        <v>366</v>
      </c>
      <c r="X23" s="47"/>
    </row>
    <row r="24" spans="1:24" s="26" customFormat="1" ht="32.25" customHeight="1" outlineLevel="1" x14ac:dyDescent="0.25">
      <c r="A24" s="373"/>
      <c r="B24" s="393"/>
      <c r="C24" s="394"/>
      <c r="D24" s="395"/>
      <c r="E24" s="401"/>
      <c r="F24" s="404"/>
      <c r="G24" s="398"/>
      <c r="H24" s="401"/>
      <c r="I24" s="398"/>
      <c r="J24" s="398"/>
      <c r="K24" s="379"/>
      <c r="L24" s="377"/>
      <c r="M24" s="326" t="s">
        <v>51</v>
      </c>
      <c r="N24" s="50"/>
      <c r="O24" s="7">
        <f t="shared" si="4"/>
        <v>0</v>
      </c>
      <c r="P24" s="7">
        <v>1194787815</v>
      </c>
      <c r="Q24" s="388"/>
      <c r="R24" s="7">
        <f>209123295.3+29868621.8+29868621.8</f>
        <v>268860538.90000004</v>
      </c>
      <c r="S24" s="7">
        <f>177460224.6+15474933+14998180</f>
        <v>207933337.59999999</v>
      </c>
      <c r="T24" s="7">
        <f t="shared" si="2"/>
        <v>925927276.0999999</v>
      </c>
      <c r="U24" s="7">
        <f t="shared" si="5"/>
        <v>2287426.2607771927</v>
      </c>
      <c r="V24" s="382"/>
      <c r="W24" s="376"/>
      <c r="X24" s="47"/>
    </row>
    <row r="25" spans="1:24" s="26" customFormat="1" ht="51.75" customHeight="1" outlineLevel="1" x14ac:dyDescent="0.25">
      <c r="A25" s="383">
        <v>12</v>
      </c>
      <c r="B25" s="392" t="s">
        <v>16</v>
      </c>
      <c r="C25" s="394"/>
      <c r="D25" s="395"/>
      <c r="E25" s="401"/>
      <c r="F25" s="404"/>
      <c r="G25" s="398"/>
      <c r="H25" s="401"/>
      <c r="I25" s="398"/>
      <c r="J25" s="398"/>
      <c r="K25" s="385" t="s">
        <v>29</v>
      </c>
      <c r="L25" s="386" t="s">
        <v>92</v>
      </c>
      <c r="M25" s="317" t="s">
        <v>216</v>
      </c>
      <c r="N25" s="49">
        <v>10098535</v>
      </c>
      <c r="O25" s="7">
        <f t="shared" si="4"/>
        <v>13548786.711998815</v>
      </c>
      <c r="P25" s="7">
        <v>10121386.37101347</v>
      </c>
      <c r="Q25" s="387">
        <v>3.1399999999999997E-2</v>
      </c>
      <c r="R25" s="7">
        <f>1520990.1+136750579/520.29+138244588/530.59</f>
        <v>2044374.2018585065</v>
      </c>
      <c r="S25" s="7">
        <f>832426.027338+83294453/525+70252782/520.29+69454072/530.59</f>
        <v>1257008.0293966178</v>
      </c>
      <c r="T25" s="7">
        <f t="shared" si="2"/>
        <v>8077012.1691549635</v>
      </c>
      <c r="U25" s="7">
        <f t="shared" si="5"/>
        <v>10836593.144461002</v>
      </c>
      <c r="V25" s="381" t="s">
        <v>31</v>
      </c>
      <c r="W25" s="384" t="s">
        <v>367</v>
      </c>
      <c r="X25" s="47"/>
    </row>
    <row r="26" spans="1:24" s="26" customFormat="1" ht="32.25" customHeight="1" outlineLevel="1" x14ac:dyDescent="0.25">
      <c r="A26" s="373"/>
      <c r="B26" s="393"/>
      <c r="C26" s="376"/>
      <c r="D26" s="377"/>
      <c r="E26" s="402"/>
      <c r="F26" s="405"/>
      <c r="G26" s="399"/>
      <c r="H26" s="402"/>
      <c r="I26" s="399"/>
      <c r="J26" s="399"/>
      <c r="K26" s="379"/>
      <c r="L26" s="377"/>
      <c r="M26" s="326" t="s">
        <v>51</v>
      </c>
      <c r="N26" s="50"/>
      <c r="O26" s="7">
        <f t="shared" si="4"/>
        <v>0</v>
      </c>
      <c r="P26" s="7">
        <v>794162455.89999998</v>
      </c>
      <c r="Q26" s="388"/>
      <c r="R26" s="7">
        <f>123592049.7+20623615+20310837</f>
        <v>164526501.69999999</v>
      </c>
      <c r="S26" s="7">
        <f>78534680.8+10527955+10204165</f>
        <v>99266800.799999997</v>
      </c>
      <c r="T26" s="7">
        <f t="shared" si="2"/>
        <v>629635954.20000005</v>
      </c>
      <c r="U26" s="7">
        <f t="shared" si="5"/>
        <v>1555463.2135181206</v>
      </c>
      <c r="V26" s="382"/>
      <c r="W26" s="376"/>
      <c r="X26" s="47"/>
    </row>
    <row r="27" spans="1:24" s="26" customFormat="1" ht="48" customHeight="1" outlineLevel="1" x14ac:dyDescent="0.25">
      <c r="A27" s="315">
        <v>13</v>
      </c>
      <c r="B27" s="327" t="s">
        <v>27</v>
      </c>
      <c r="C27" s="408" t="s">
        <v>42</v>
      </c>
      <c r="D27" s="378" t="s">
        <v>43</v>
      </c>
      <c r="E27" s="328" t="s">
        <v>46</v>
      </c>
      <c r="F27" s="389">
        <v>15000000</v>
      </c>
      <c r="G27" s="389">
        <v>15000000</v>
      </c>
      <c r="H27" s="409">
        <v>1.4500000000000001E-2</v>
      </c>
      <c r="I27" s="389">
        <v>2437500</v>
      </c>
      <c r="J27" s="389">
        <f>G27-I27</f>
        <v>12562500</v>
      </c>
      <c r="K27" s="319" t="s">
        <v>44</v>
      </c>
      <c r="L27" s="326" t="s">
        <v>86</v>
      </c>
      <c r="M27" s="317" t="s">
        <v>26</v>
      </c>
      <c r="N27" s="7">
        <v>19600000</v>
      </c>
      <c r="O27" s="7">
        <f t="shared" si="4"/>
        <v>19600000</v>
      </c>
      <c r="P27" s="7">
        <v>19419334.870000001</v>
      </c>
      <c r="Q27" s="51">
        <v>5.0000000000000001E-3</v>
      </c>
      <c r="R27" s="1">
        <f>9716960.66852489+189584407.5/488.5+172026989.7/443.26+153375144/395.2+150045288.9/386.62+156421689.8/403.05</f>
        <v>11657435.668648943</v>
      </c>
      <c r="S27" s="1">
        <f>1129921.93024286+16077756.3/488.5+14096288.6/443.26+12233850.7/395.2+11546870.2/386.62+11574265.9/403.05</f>
        <v>1284174.8301751786</v>
      </c>
      <c r="T27" s="7">
        <f t="shared" si="2"/>
        <v>7761899.2013510577</v>
      </c>
      <c r="U27" s="7">
        <f t="shared" si="5"/>
        <v>7761899.2013510577</v>
      </c>
      <c r="V27" s="44" t="s">
        <v>31</v>
      </c>
      <c r="W27" s="45"/>
      <c r="X27" s="47"/>
    </row>
    <row r="28" spans="1:24" s="2" customFormat="1" ht="60" customHeight="1" outlineLevel="1" x14ac:dyDescent="0.25">
      <c r="A28" s="353">
        <v>14</v>
      </c>
      <c r="B28" s="358" t="s">
        <v>16</v>
      </c>
      <c r="C28" s="408"/>
      <c r="D28" s="378"/>
      <c r="E28" s="359" t="s">
        <v>46</v>
      </c>
      <c r="F28" s="389"/>
      <c r="G28" s="389"/>
      <c r="H28" s="409"/>
      <c r="I28" s="389"/>
      <c r="J28" s="389"/>
      <c r="K28" s="356" t="s">
        <v>45</v>
      </c>
      <c r="L28" s="357" t="s">
        <v>87</v>
      </c>
      <c r="M28" s="355" t="s">
        <v>26</v>
      </c>
      <c r="N28" s="1">
        <v>297276.53999999998</v>
      </c>
      <c r="O28" s="1">
        <f t="shared" si="4"/>
        <v>297276.53999999998</v>
      </c>
      <c r="P28" s="1">
        <v>297276.53999999998</v>
      </c>
      <c r="Q28" s="9" t="s">
        <v>125</v>
      </c>
      <c r="R28" s="1">
        <f>257638.543537781+4361667/440.15+3916234/395.2+3837157/387.22+3994520/403.1</f>
        <v>297276.54625526333</v>
      </c>
      <c r="S28" s="1">
        <f>229541.53251276+1912186/489.99+1556591/440.15+1259898/395.2+1094284/387.22+991707/403.1</f>
        <v>245454.73643449965</v>
      </c>
      <c r="T28" s="1">
        <f t="shared" si="2"/>
        <v>-6.255263346247375E-3</v>
      </c>
      <c r="U28" s="1">
        <f t="shared" si="5"/>
        <v>-6.255263346247375E-3</v>
      </c>
      <c r="V28" s="8" t="s">
        <v>31</v>
      </c>
      <c r="W28" s="366" t="s">
        <v>412</v>
      </c>
      <c r="X28" s="10"/>
    </row>
    <row r="29" spans="1:24" s="26" customFormat="1" ht="51" customHeight="1" outlineLevel="1" x14ac:dyDescent="0.25">
      <c r="A29" s="315">
        <v>15</v>
      </c>
      <c r="B29" s="327" t="s">
        <v>16</v>
      </c>
      <c r="C29" s="406" t="s">
        <v>17</v>
      </c>
      <c r="D29" s="378" t="s">
        <v>65</v>
      </c>
      <c r="E29" s="390" t="s">
        <v>18</v>
      </c>
      <c r="F29" s="391">
        <f>5075000000+324000000</f>
        <v>5399000000</v>
      </c>
      <c r="G29" s="389">
        <f>5062807492+305504477</f>
        <v>5368311969</v>
      </c>
      <c r="H29" s="407" t="s">
        <v>66</v>
      </c>
      <c r="I29" s="389">
        <f>1729684492+71162477</f>
        <v>1800846969</v>
      </c>
      <c r="J29" s="389">
        <f>G29-I29</f>
        <v>3567465000</v>
      </c>
      <c r="K29" s="319" t="s">
        <v>21</v>
      </c>
      <c r="L29" s="326" t="s">
        <v>93</v>
      </c>
      <c r="M29" s="326" t="s">
        <v>18</v>
      </c>
      <c r="N29" s="7">
        <v>1571940173.3299999</v>
      </c>
      <c r="O29" s="7">
        <f t="shared" si="4"/>
        <v>11094723.375586871</v>
      </c>
      <c r="P29" s="7">
        <v>1598519063</v>
      </c>
      <c r="Q29" s="51">
        <v>1.7999999999999999E-2</v>
      </c>
      <c r="R29" s="7">
        <f>1030178646.5+123394332/3.026+109815247/2.693</f>
        <v>1111734715.4027808</v>
      </c>
      <c r="S29" s="7">
        <f>226837831.925937+13873556/3.026+11211247/2.693</f>
        <v>235585722.74296552</v>
      </c>
      <c r="T29" s="7">
        <f t="shared" si="2"/>
        <v>486784347.59721923</v>
      </c>
      <c r="U29" s="7">
        <f t="shared" si="5"/>
        <v>3435714.5213203272</v>
      </c>
      <c r="V29" s="44" t="s">
        <v>31</v>
      </c>
      <c r="W29" s="45"/>
      <c r="X29" s="47"/>
    </row>
    <row r="30" spans="1:24" s="26" customFormat="1" ht="41.25" customHeight="1" outlineLevel="1" x14ac:dyDescent="0.25">
      <c r="A30" s="315">
        <v>16</v>
      </c>
      <c r="B30" s="316" t="s">
        <v>2</v>
      </c>
      <c r="C30" s="406"/>
      <c r="D30" s="378"/>
      <c r="E30" s="390"/>
      <c r="F30" s="391"/>
      <c r="G30" s="389"/>
      <c r="H30" s="407"/>
      <c r="I30" s="389"/>
      <c r="J30" s="389"/>
      <c r="K30" s="319" t="s">
        <v>23</v>
      </c>
      <c r="L30" s="326" t="s">
        <v>93</v>
      </c>
      <c r="M30" s="326" t="s">
        <v>18</v>
      </c>
      <c r="N30" s="7">
        <v>3796371795.6700001</v>
      </c>
      <c r="O30" s="7">
        <f t="shared" si="4"/>
        <v>26794718.793026485</v>
      </c>
      <c r="P30" s="7">
        <v>3861444249</v>
      </c>
      <c r="Q30" s="51">
        <v>1.7999999999999999E-2</v>
      </c>
      <c r="R30" s="7">
        <f>2513837447.56+291897058.6/3.026+259774877.3/2.693</f>
        <v>2706763461.1630621</v>
      </c>
      <c r="S30" s="7">
        <f>553224853.256799+32762341/3.026+26475306.9/2.693</f>
        <v>573882957.45934212</v>
      </c>
      <c r="T30" s="7">
        <f t="shared" si="2"/>
        <v>1154680787.8369379</v>
      </c>
      <c r="U30" s="7">
        <f t="shared" si="5"/>
        <v>8149714.6936686477</v>
      </c>
      <c r="V30" s="44" t="s">
        <v>31</v>
      </c>
      <c r="W30" s="45"/>
      <c r="X30" s="47"/>
    </row>
    <row r="31" spans="1:24" s="26" customFormat="1" ht="33.75" customHeight="1" outlineLevel="1" x14ac:dyDescent="0.25">
      <c r="A31" s="374">
        <v>17</v>
      </c>
      <c r="B31" s="406" t="s">
        <v>88</v>
      </c>
      <c r="C31" s="408" t="s">
        <v>69</v>
      </c>
      <c r="D31" s="378" t="s">
        <v>43</v>
      </c>
      <c r="E31" s="390" t="s">
        <v>46</v>
      </c>
      <c r="F31" s="389">
        <v>10000000</v>
      </c>
      <c r="G31" s="389">
        <v>9972457.2400000002</v>
      </c>
      <c r="H31" s="409">
        <v>1.4500000000000001E-2</v>
      </c>
      <c r="I31" s="389">
        <v>0</v>
      </c>
      <c r="J31" s="389">
        <f>G31-I31</f>
        <v>9972457.2400000002</v>
      </c>
      <c r="K31" s="380" t="s">
        <v>70</v>
      </c>
      <c r="L31" s="378" t="s">
        <v>89</v>
      </c>
      <c r="M31" s="317" t="s">
        <v>26</v>
      </c>
      <c r="N31" s="7">
        <v>4846628.13</v>
      </c>
      <c r="O31" s="7">
        <f t="shared" si="4"/>
        <v>4846628.13</v>
      </c>
      <c r="P31" s="7">
        <v>4737831.22</v>
      </c>
      <c r="Q31" s="46">
        <v>7.4999999999999997E-3</v>
      </c>
      <c r="R31" s="7">
        <f>616176.07+18729201/386.44+19508050/402.51</f>
        <v>713108.07074119058</v>
      </c>
      <c r="S31" s="7">
        <f>353441.51+5923430/386.44+6198654/402.51</f>
        <v>384169.71101438778</v>
      </c>
      <c r="T31" s="7">
        <f t="shared" si="2"/>
        <v>4024723.1492588092</v>
      </c>
      <c r="U31" s="7">
        <f t="shared" si="5"/>
        <v>4024723.1492588092</v>
      </c>
      <c r="V31" s="44" t="s">
        <v>111</v>
      </c>
      <c r="W31" s="45"/>
      <c r="X31" s="47"/>
    </row>
    <row r="32" spans="1:24" s="26" customFormat="1" ht="41.25" customHeight="1" outlineLevel="1" x14ac:dyDescent="0.25">
      <c r="A32" s="374"/>
      <c r="B32" s="406"/>
      <c r="C32" s="408"/>
      <c r="D32" s="378"/>
      <c r="E32" s="390"/>
      <c r="F32" s="389"/>
      <c r="G32" s="389"/>
      <c r="H32" s="409"/>
      <c r="I32" s="389"/>
      <c r="J32" s="389"/>
      <c r="K32" s="380"/>
      <c r="L32" s="378"/>
      <c r="M32" s="326" t="s">
        <v>51</v>
      </c>
      <c r="N32" s="7">
        <v>1740568345.9000001</v>
      </c>
      <c r="O32" s="7">
        <f t="shared" si="4"/>
        <v>4299929.2124311375</v>
      </c>
      <c r="P32" s="7">
        <v>1740568345.9000001</v>
      </c>
      <c r="Q32" s="46">
        <v>7.4999999999999997E-3</v>
      </c>
      <c r="R32" s="7">
        <f>247100359+17402579+17402579</f>
        <v>281905517</v>
      </c>
      <c r="S32" s="7">
        <f>128165336.87+5554115.8+5580740.4</f>
        <v>139300193.06999999</v>
      </c>
      <c r="T32" s="7">
        <f t="shared" si="2"/>
        <v>1458662828.9000001</v>
      </c>
      <c r="U32" s="7">
        <f t="shared" si="5"/>
        <v>3603505.0986931496</v>
      </c>
      <c r="V32" s="44" t="s">
        <v>111</v>
      </c>
      <c r="W32" s="45"/>
      <c r="X32" s="47"/>
    </row>
    <row r="33" spans="1:25" s="27" customFormat="1" ht="87" customHeight="1" outlineLevel="1" x14ac:dyDescent="0.25">
      <c r="A33" s="315">
        <v>18</v>
      </c>
      <c r="B33" s="327" t="s">
        <v>1</v>
      </c>
      <c r="C33" s="316" t="s">
        <v>59</v>
      </c>
      <c r="D33" s="326" t="s">
        <v>61</v>
      </c>
      <c r="E33" s="328" t="s">
        <v>60</v>
      </c>
      <c r="F33" s="314">
        <f>12782297+5112919</f>
        <v>17895216</v>
      </c>
      <c r="G33" s="314">
        <f>12782297+5112919</f>
        <v>17895216</v>
      </c>
      <c r="H33" s="328"/>
      <c r="I33" s="43">
        <f>2687350+357904</f>
        <v>3045254</v>
      </c>
      <c r="J33" s="314">
        <f>G33-I33</f>
        <v>14849962</v>
      </c>
      <c r="K33" s="319" t="s">
        <v>58</v>
      </c>
      <c r="L33" s="319" t="s">
        <v>85</v>
      </c>
      <c r="M33" s="317" t="s">
        <v>30</v>
      </c>
      <c r="N33" s="52">
        <v>17895215.550000001</v>
      </c>
      <c r="O33" s="7">
        <f t="shared" si="4"/>
        <v>19801050.037908547</v>
      </c>
      <c r="P33" s="7">
        <v>17895215.550000001</v>
      </c>
      <c r="Q33" s="46">
        <v>7.4999999999999997E-3</v>
      </c>
      <c r="R33" s="7">
        <f>7748628.1+130294835.3/415.04+137735052.2/438.74</f>
        <v>8376494.5000054715</v>
      </c>
      <c r="S33" s="7">
        <f>2568161.28+12471869/415.04+3320320/414.34+16171473.8/438.74</f>
        <v>2643083.495521571</v>
      </c>
      <c r="T33" s="7">
        <f t="shared" si="2"/>
        <v>9518721.0499945283</v>
      </c>
      <c r="U33" s="7">
        <f t="shared" si="5"/>
        <v>10532461.667265864</v>
      </c>
      <c r="V33" s="44" t="s">
        <v>31</v>
      </c>
      <c r="W33" s="45"/>
      <c r="X33" s="47"/>
      <c r="Y33" s="26"/>
    </row>
    <row r="34" spans="1:25" s="27" customFormat="1" ht="40.5" customHeight="1" outlineLevel="1" x14ac:dyDescent="0.25">
      <c r="A34" s="374">
        <v>19</v>
      </c>
      <c r="B34" s="392" t="s">
        <v>210</v>
      </c>
      <c r="C34" s="408" t="s">
        <v>137</v>
      </c>
      <c r="D34" s="408" t="s">
        <v>147</v>
      </c>
      <c r="E34" s="415" t="s">
        <v>30</v>
      </c>
      <c r="F34" s="53">
        <v>14500000</v>
      </c>
      <c r="G34" s="53"/>
      <c r="H34" s="316"/>
      <c r="I34" s="54"/>
      <c r="J34" s="53">
        <f>G34-I34</f>
        <v>0</v>
      </c>
      <c r="K34" s="408" t="s">
        <v>211</v>
      </c>
      <c r="L34" s="316" t="s">
        <v>235</v>
      </c>
      <c r="M34" s="317" t="s">
        <v>30</v>
      </c>
      <c r="N34" s="55">
        <v>22000000</v>
      </c>
      <c r="O34" s="7">
        <f t="shared" si="4"/>
        <v>24342992.662862223</v>
      </c>
      <c r="P34" s="7">
        <v>21247150.510000002</v>
      </c>
      <c r="Q34" s="318" t="s">
        <v>138</v>
      </c>
      <c r="R34" s="1">
        <f>1047000+1047000+1047000+1047000+1047000+1047000+1047000</f>
        <v>7329000</v>
      </c>
      <c r="S34" s="1">
        <v>2375876.2999999998</v>
      </c>
      <c r="T34" s="340">
        <f>P34-R34</f>
        <v>13918150.510000002</v>
      </c>
      <c r="U34" s="7">
        <f t="shared" si="5"/>
        <v>15400428.897524644</v>
      </c>
      <c r="V34" s="384" t="s">
        <v>403</v>
      </c>
      <c r="W34" s="45"/>
      <c r="X34" s="47"/>
      <c r="Y34" s="26"/>
    </row>
    <row r="35" spans="1:25" s="27" customFormat="1" ht="31.5" customHeight="1" outlineLevel="1" x14ac:dyDescent="0.25">
      <c r="A35" s="374"/>
      <c r="B35" s="414"/>
      <c r="C35" s="408"/>
      <c r="D35" s="408"/>
      <c r="E35" s="415"/>
      <c r="F35" s="53">
        <v>14500000</v>
      </c>
      <c r="G35" s="53">
        <v>697853.84</v>
      </c>
      <c r="H35" s="316"/>
      <c r="I35" s="54"/>
      <c r="J35" s="53">
        <f>G35-I35</f>
        <v>697853.84</v>
      </c>
      <c r="K35" s="408"/>
      <c r="L35" s="316" t="s">
        <v>237</v>
      </c>
      <c r="M35" s="317" t="s">
        <v>30</v>
      </c>
      <c r="N35" s="55">
        <v>14500000</v>
      </c>
      <c r="O35" s="7">
        <f t="shared" si="4"/>
        <v>16044245.164159194</v>
      </c>
      <c r="P35" s="7">
        <v>14491281.059999999</v>
      </c>
      <c r="Q35" s="318" t="s">
        <v>97</v>
      </c>
      <c r="R35" s="1">
        <f>241000+241000+241000+241000+241000+241000+241000</f>
        <v>1687000</v>
      </c>
      <c r="S35" s="1">
        <v>628643.69999999995</v>
      </c>
      <c r="T35" s="340">
        <f>P35-R35</f>
        <v>12804281.059999999</v>
      </c>
      <c r="U35" s="7">
        <f t="shared" si="5"/>
        <v>14167932.722582078</v>
      </c>
      <c r="V35" s="394"/>
      <c r="W35" s="45"/>
      <c r="X35" s="47"/>
      <c r="Y35" s="26"/>
    </row>
    <row r="36" spans="1:25" s="27" customFormat="1" ht="42.75" customHeight="1" outlineLevel="1" x14ac:dyDescent="0.25">
      <c r="A36" s="374"/>
      <c r="B36" s="393"/>
      <c r="C36" s="408"/>
      <c r="D36" s="408"/>
      <c r="E36" s="415"/>
      <c r="F36" s="53">
        <v>22000000</v>
      </c>
      <c r="G36" s="53"/>
      <c r="H36" s="316"/>
      <c r="I36" s="54"/>
      <c r="J36" s="53">
        <f>G36-I36</f>
        <v>0</v>
      </c>
      <c r="K36" s="408"/>
      <c r="L36" s="316" t="s">
        <v>236</v>
      </c>
      <c r="M36" s="317" t="s">
        <v>30</v>
      </c>
      <c r="N36" s="55">
        <v>14500000</v>
      </c>
      <c r="O36" s="7">
        <f t="shared" si="4"/>
        <v>16044245.164159194</v>
      </c>
      <c r="P36" s="7">
        <v>14500000.000000002</v>
      </c>
      <c r="Q36" s="318" t="s">
        <v>139</v>
      </c>
      <c r="R36" s="1">
        <f>2519999.6+630000+630000+630000</f>
        <v>4409999.5999999996</v>
      </c>
      <c r="S36" s="1">
        <v>2336020</v>
      </c>
      <c r="T36" s="340">
        <f>P36-R36</f>
        <v>10090000.400000002</v>
      </c>
      <c r="U36" s="7">
        <f t="shared" si="5"/>
        <v>11164582.07752168</v>
      </c>
      <c r="V36" s="376"/>
      <c r="W36" s="45"/>
      <c r="X36" s="47"/>
      <c r="Y36" s="26"/>
    </row>
    <row r="37" spans="1:25" s="27" customFormat="1" ht="94.5" customHeight="1" outlineLevel="1" x14ac:dyDescent="0.25">
      <c r="A37" s="315">
        <v>20</v>
      </c>
      <c r="B37" s="316" t="s">
        <v>71</v>
      </c>
      <c r="C37" s="327" t="s">
        <v>72</v>
      </c>
      <c r="D37" s="326" t="s">
        <v>65</v>
      </c>
      <c r="E37" s="328" t="s">
        <v>18</v>
      </c>
      <c r="F37" s="329">
        <v>26409000000</v>
      </c>
      <c r="G37" s="314">
        <v>26399286331</v>
      </c>
      <c r="H37" s="318">
        <v>7.4999999999999997E-3</v>
      </c>
      <c r="I37" s="314">
        <v>432846331</v>
      </c>
      <c r="J37" s="53">
        <f>G37-I37</f>
        <v>25966440000</v>
      </c>
      <c r="K37" s="319" t="s">
        <v>73</v>
      </c>
      <c r="L37" s="326" t="s">
        <v>94</v>
      </c>
      <c r="M37" s="326" t="s">
        <v>18</v>
      </c>
      <c r="N37" s="329">
        <v>26409000000</v>
      </c>
      <c r="O37" s="7">
        <f t="shared" si="4"/>
        <v>186394211.81353292</v>
      </c>
      <c r="P37" s="7">
        <v>26399286331</v>
      </c>
      <c r="Q37" s="46">
        <v>7.4999999999999997E-3</v>
      </c>
      <c r="R37" s="7">
        <f>7357230331.16835+1131704010/2.615</f>
        <v>7790004331.1683502</v>
      </c>
      <c r="S37" s="7">
        <f>2607354309.06995+188428717.2/2.615</f>
        <v>2679411179.8921299</v>
      </c>
      <c r="T37" s="314">
        <f t="shared" ref="T37:T46" si="6">P37-R37</f>
        <v>18609281999.83165</v>
      </c>
      <c r="U37" s="7">
        <f t="shared" si="5"/>
        <v>131343952.84843752</v>
      </c>
      <c r="V37" s="44" t="s">
        <v>126</v>
      </c>
      <c r="W37" s="45"/>
      <c r="X37" s="47"/>
      <c r="Y37" s="26"/>
    </row>
    <row r="38" spans="1:25" s="27" customFormat="1" ht="51.75" customHeight="1" outlineLevel="1" x14ac:dyDescent="0.25">
      <c r="A38" s="315">
        <v>21</v>
      </c>
      <c r="B38" s="327" t="s">
        <v>27</v>
      </c>
      <c r="C38" s="316" t="s">
        <v>130</v>
      </c>
      <c r="D38" s="316" t="s">
        <v>106</v>
      </c>
      <c r="E38" s="328"/>
      <c r="F38" s="328"/>
      <c r="G38" s="328"/>
      <c r="H38" s="328"/>
      <c r="I38" s="328"/>
      <c r="J38" s="328"/>
      <c r="K38" s="319" t="s">
        <v>32</v>
      </c>
      <c r="L38" s="326" t="s">
        <v>95</v>
      </c>
      <c r="M38" s="317" t="s">
        <v>26</v>
      </c>
      <c r="N38" s="7">
        <v>8988290</v>
      </c>
      <c r="O38" s="7">
        <f t="shared" si="4"/>
        <v>8988290</v>
      </c>
      <c r="P38" s="7">
        <v>8988290</v>
      </c>
      <c r="Q38" s="51">
        <v>5.0000000000000001E-3</v>
      </c>
      <c r="R38" s="7">
        <f>4199999.97+600000+600000+289644000/482.74+290820000/484.7+286458000/477.43+600000+600000+231939215.4/394.26</f>
        <v>8988289.9699999988</v>
      </c>
      <c r="S38" s="7">
        <f>838542.942447016+522591.6/394.26</f>
        <v>839868.44237092405</v>
      </c>
      <c r="T38" s="314">
        <f t="shared" si="6"/>
        <v>3.0000001192092896E-2</v>
      </c>
      <c r="U38" s="7">
        <f t="shared" si="5"/>
        <v>3.0000001192092896E-2</v>
      </c>
      <c r="V38" s="44" t="s">
        <v>111</v>
      </c>
      <c r="W38" s="45"/>
      <c r="X38" s="47"/>
      <c r="Y38" s="26"/>
    </row>
    <row r="39" spans="1:25" s="27" customFormat="1" ht="63.75" customHeight="1" outlineLevel="1" x14ac:dyDescent="0.25">
      <c r="A39" s="315">
        <v>22</v>
      </c>
      <c r="B39" s="327" t="s">
        <v>0</v>
      </c>
      <c r="C39" s="316" t="s">
        <v>130</v>
      </c>
      <c r="D39" s="316" t="s">
        <v>9</v>
      </c>
      <c r="E39" s="328"/>
      <c r="F39" s="328"/>
      <c r="G39" s="328"/>
      <c r="H39" s="328"/>
      <c r="I39" s="328"/>
      <c r="J39" s="328"/>
      <c r="K39" s="56" t="s">
        <v>12</v>
      </c>
      <c r="L39" s="7" t="s">
        <v>96</v>
      </c>
      <c r="M39" s="53" t="s">
        <v>51</v>
      </c>
      <c r="N39" s="7">
        <v>1757100000</v>
      </c>
      <c r="O39" s="7">
        <f t="shared" si="4"/>
        <v>4340769.2877788479</v>
      </c>
      <c r="P39" s="7">
        <v>1757100000</v>
      </c>
      <c r="Q39" s="46">
        <v>7.4999999999999997E-3</v>
      </c>
      <c r="R39" s="1">
        <f>439275000+62753571.5+62753571.5+62753571.3+62753571.4+62753571.4+62753571.4+62753571.5+62753571.5+62753571.5</f>
        <v>1004057142.9999999</v>
      </c>
      <c r="S39" s="7">
        <f>303383430.5+3313904.4+3032802.7</f>
        <v>309730137.59999996</v>
      </c>
      <c r="T39" s="314">
        <f t="shared" si="6"/>
        <v>753042857.00000012</v>
      </c>
      <c r="U39" s="7">
        <f t="shared" si="5"/>
        <v>1860329.694409447</v>
      </c>
      <c r="V39" s="44" t="s">
        <v>111</v>
      </c>
      <c r="W39" s="45"/>
      <c r="X39" s="47"/>
      <c r="Y39" s="26"/>
    </row>
    <row r="40" spans="1:25" s="27" customFormat="1" ht="63.75" customHeight="1" outlineLevel="1" x14ac:dyDescent="0.25">
      <c r="A40" s="311">
        <v>23</v>
      </c>
      <c r="B40" s="327" t="s">
        <v>0</v>
      </c>
      <c r="C40" s="309" t="s">
        <v>243</v>
      </c>
      <c r="D40" s="316"/>
      <c r="E40" s="328"/>
      <c r="F40" s="328"/>
      <c r="G40" s="328"/>
      <c r="H40" s="328"/>
      <c r="I40" s="328"/>
      <c r="J40" s="328"/>
      <c r="K40" s="56" t="s">
        <v>276</v>
      </c>
      <c r="L40" s="7" t="s">
        <v>336</v>
      </c>
      <c r="M40" s="53" t="s">
        <v>51</v>
      </c>
      <c r="N40" s="7">
        <v>18700000000</v>
      </c>
      <c r="O40" s="7">
        <f t="shared" si="4"/>
        <v>46196793.399046414</v>
      </c>
      <c r="P40" s="7">
        <v>18700000000</v>
      </c>
      <c r="Q40" s="313">
        <v>7.4999999999999997E-2</v>
      </c>
      <c r="R40" s="1">
        <f>890476190.5+890476190.5+890476190.5+890476190.5</f>
        <v>3561904762</v>
      </c>
      <c r="S40" s="1">
        <f>1333335616.4+703171232.9+699328767.1+670052837.5+632909002+602718199.6</f>
        <v>4641515655.5</v>
      </c>
      <c r="T40" s="314">
        <f t="shared" si="6"/>
        <v>15138095238</v>
      </c>
      <c r="U40" s="7">
        <f t="shared" si="5"/>
        <v>37397404.179945156</v>
      </c>
      <c r="V40" s="44" t="s">
        <v>111</v>
      </c>
      <c r="W40" s="45"/>
      <c r="X40" s="47"/>
      <c r="Y40" s="26"/>
    </row>
    <row r="41" spans="1:25" s="27" customFormat="1" ht="63.75" customHeight="1" outlineLevel="1" x14ac:dyDescent="0.25">
      <c r="A41" s="311">
        <v>24</v>
      </c>
      <c r="B41" s="327" t="s">
        <v>0</v>
      </c>
      <c r="C41" s="309" t="s">
        <v>354</v>
      </c>
      <c r="D41" s="316"/>
      <c r="E41" s="328"/>
      <c r="F41" s="328"/>
      <c r="G41" s="328"/>
      <c r="H41" s="328"/>
      <c r="I41" s="328"/>
      <c r="J41" s="328"/>
      <c r="K41" s="57"/>
      <c r="L41" s="7" t="s">
        <v>355</v>
      </c>
      <c r="M41" s="53" t="s">
        <v>51</v>
      </c>
      <c r="N41" s="7">
        <v>25000000000</v>
      </c>
      <c r="O41" s="7">
        <f t="shared" si="4"/>
        <v>61760418.982682377</v>
      </c>
      <c r="P41" s="7">
        <v>25000000000</v>
      </c>
      <c r="Q41" s="313">
        <v>0.09</v>
      </c>
      <c r="R41" s="1">
        <f>1190476190.4+1190476190.5</f>
        <v>2380952380.9000001</v>
      </c>
      <c r="S41" s="1">
        <f>1171232876.7+1121917808.3+1128082191.8+1121917808.2+1074363992.2</f>
        <v>5617514677.1999998</v>
      </c>
      <c r="T41" s="314">
        <f t="shared" si="6"/>
        <v>22619047619.099998</v>
      </c>
      <c r="U41" s="7">
        <f t="shared" si="5"/>
        <v>55878474.317794405</v>
      </c>
      <c r="V41" s="44" t="s">
        <v>111</v>
      </c>
      <c r="W41" s="45"/>
      <c r="X41" s="47"/>
      <c r="Y41" s="26"/>
    </row>
    <row r="42" spans="1:25" s="3" customFormat="1" ht="63.75" customHeight="1" outlineLevel="1" x14ac:dyDescent="0.25">
      <c r="A42" s="350">
        <v>25</v>
      </c>
      <c r="B42" s="358" t="s">
        <v>0</v>
      </c>
      <c r="C42" s="351" t="s">
        <v>380</v>
      </c>
      <c r="D42" s="354"/>
      <c r="E42" s="359"/>
      <c r="F42" s="359"/>
      <c r="G42" s="359"/>
      <c r="H42" s="359"/>
      <c r="I42" s="359"/>
      <c r="J42" s="359"/>
      <c r="K42" s="12" t="s">
        <v>381</v>
      </c>
      <c r="L42" s="1" t="s">
        <v>382</v>
      </c>
      <c r="M42" s="11" t="s">
        <v>51</v>
      </c>
      <c r="N42" s="1">
        <v>2242223800</v>
      </c>
      <c r="O42" s="1">
        <f t="shared" si="4"/>
        <v>5539227.2536376882</v>
      </c>
      <c r="P42" s="1">
        <v>2242223800</v>
      </c>
      <c r="Q42" s="276">
        <v>9.1240000000000002E-2</v>
      </c>
      <c r="R42" s="1">
        <v>2242223800</v>
      </c>
      <c r="S42" s="1">
        <v>297062095</v>
      </c>
      <c r="T42" s="352">
        <f t="shared" si="6"/>
        <v>0</v>
      </c>
      <c r="U42" s="1">
        <f t="shared" si="5"/>
        <v>0</v>
      </c>
      <c r="V42" s="8" t="s">
        <v>111</v>
      </c>
      <c r="W42" s="366" t="s">
        <v>412</v>
      </c>
      <c r="X42" s="10"/>
      <c r="Y42" s="2"/>
    </row>
    <row r="43" spans="1:25" s="27" customFormat="1" ht="57.75" customHeight="1" outlineLevel="1" x14ac:dyDescent="0.25">
      <c r="A43" s="383">
        <v>26</v>
      </c>
      <c r="B43" s="392" t="s">
        <v>0</v>
      </c>
      <c r="C43" s="384" t="s">
        <v>140</v>
      </c>
      <c r="D43" s="326" t="s">
        <v>145</v>
      </c>
      <c r="E43" s="317" t="s">
        <v>26</v>
      </c>
      <c r="F43" s="314">
        <v>270000000</v>
      </c>
      <c r="G43" s="59">
        <v>7766059.0499999998</v>
      </c>
      <c r="H43" s="328"/>
      <c r="I43" s="328"/>
      <c r="J43" s="328"/>
      <c r="K43" s="385" t="s">
        <v>141</v>
      </c>
      <c r="L43" s="410" t="s">
        <v>136</v>
      </c>
      <c r="M43" s="317" t="s">
        <v>26</v>
      </c>
      <c r="N43" s="49">
        <v>270000000</v>
      </c>
      <c r="O43" s="7">
        <f t="shared" si="4"/>
        <v>270000000</v>
      </c>
      <c r="P43" s="7">
        <v>173574580.28</v>
      </c>
      <c r="Q43" s="412">
        <v>0.03</v>
      </c>
      <c r="R43" s="7">
        <f>51199088.7002228+3370009369.8/394.93+3295429324.9/386.19</f>
        <v>68265451.600323498</v>
      </c>
      <c r="S43" s="7">
        <f>20309911.275649+723428666.7/394.93+646453366.1/386.19</f>
        <v>23815626.575622123</v>
      </c>
      <c r="T43" s="314">
        <f t="shared" si="6"/>
        <v>105309128.6796765</v>
      </c>
      <c r="U43" s="7">
        <f t="shared" si="5"/>
        <v>105309128.6796765</v>
      </c>
      <c r="V43" s="381" t="s">
        <v>99</v>
      </c>
      <c r="W43" s="45"/>
      <c r="X43" s="47"/>
      <c r="Y43" s="26"/>
    </row>
    <row r="44" spans="1:25" s="27" customFormat="1" ht="57.75" customHeight="1" outlineLevel="1" x14ac:dyDescent="0.25">
      <c r="A44" s="373"/>
      <c r="B44" s="393"/>
      <c r="C44" s="376"/>
      <c r="D44" s="320"/>
      <c r="E44" s="60"/>
      <c r="F44" s="335"/>
      <c r="G44" s="257"/>
      <c r="H44" s="323"/>
      <c r="I44" s="323"/>
      <c r="J44" s="323"/>
      <c r="K44" s="379"/>
      <c r="L44" s="411"/>
      <c r="M44" s="53" t="s">
        <v>51</v>
      </c>
      <c r="N44" s="50">
        <v>1265847400</v>
      </c>
      <c r="O44" s="7">
        <f t="shared" si="4"/>
        <v>3127170.6316855652</v>
      </c>
      <c r="P44" s="7">
        <f>9509488626+108542329</f>
        <v>9618030955</v>
      </c>
      <c r="Q44" s="413"/>
      <c r="R44" s="7">
        <f>2858334735.47632+482835444.3+482835444.2</f>
        <v>3824005623.9763198</v>
      </c>
      <c r="S44" s="7">
        <f>1045375895.11175+103648675.3+94716219.7</f>
        <v>1243740790.1117501</v>
      </c>
      <c r="T44" s="314">
        <f t="shared" si="6"/>
        <v>5794025331.0236797</v>
      </c>
      <c r="U44" s="7">
        <f t="shared" si="5"/>
        <v>14313657.281611897</v>
      </c>
      <c r="V44" s="382"/>
      <c r="W44" s="45"/>
      <c r="X44" s="47"/>
      <c r="Y44" s="26"/>
    </row>
    <row r="45" spans="1:25" s="27" customFormat="1" ht="57.75" customHeight="1" outlineLevel="1" x14ac:dyDescent="0.25">
      <c r="A45" s="315">
        <v>27</v>
      </c>
      <c r="B45" s="327" t="s">
        <v>0</v>
      </c>
      <c r="C45" s="316" t="s">
        <v>180</v>
      </c>
      <c r="D45" s="326"/>
      <c r="E45" s="317"/>
      <c r="F45" s="314"/>
      <c r="G45" s="59"/>
      <c r="H45" s="328"/>
      <c r="I45" s="328"/>
      <c r="J45" s="328"/>
      <c r="K45" s="331" t="s">
        <v>184</v>
      </c>
      <c r="L45" s="340" t="s">
        <v>182</v>
      </c>
      <c r="M45" s="40" t="s">
        <v>26</v>
      </c>
      <c r="N45" s="49">
        <v>8907500</v>
      </c>
      <c r="O45" s="7">
        <f t="shared" si="4"/>
        <v>8907500</v>
      </c>
      <c r="P45" s="7">
        <v>8907384.7100000009</v>
      </c>
      <c r="Q45" s="387" t="s">
        <v>400</v>
      </c>
      <c r="R45" s="7"/>
      <c r="S45" s="7">
        <f>1241236.45+96159781.6/386.38+118034920.8/403.19</f>
        <v>1782862.6500977012</v>
      </c>
      <c r="T45" s="336">
        <f t="shared" si="6"/>
        <v>8907384.7100000009</v>
      </c>
      <c r="U45" s="7">
        <f t="shared" si="5"/>
        <v>8907384.7100000009</v>
      </c>
      <c r="V45" s="312" t="s">
        <v>185</v>
      </c>
      <c r="W45" s="45"/>
      <c r="X45" s="47"/>
      <c r="Y45" s="26"/>
    </row>
    <row r="46" spans="1:25" s="27" customFormat="1" ht="78.75" customHeight="1" outlineLevel="1" thickBot="1" x14ac:dyDescent="0.3">
      <c r="A46" s="316">
        <v>28</v>
      </c>
      <c r="B46" s="310" t="s">
        <v>71</v>
      </c>
      <c r="C46" s="338" t="s">
        <v>180</v>
      </c>
      <c r="D46" s="321"/>
      <c r="E46" s="61"/>
      <c r="F46" s="336"/>
      <c r="G46" s="62"/>
      <c r="H46" s="324"/>
      <c r="I46" s="324"/>
      <c r="J46" s="324"/>
      <c r="K46" s="331" t="s">
        <v>181</v>
      </c>
      <c r="L46" s="63" t="s">
        <v>182</v>
      </c>
      <c r="M46" s="61" t="s">
        <v>26</v>
      </c>
      <c r="N46" s="201">
        <v>21092500</v>
      </c>
      <c r="O46" s="7">
        <f t="shared" si="4"/>
        <v>21092500</v>
      </c>
      <c r="P46" s="7">
        <v>21092210.790000003</v>
      </c>
      <c r="Q46" s="420"/>
      <c r="R46" s="7"/>
      <c r="S46" s="7">
        <f>3081286.01+227668040/386.38+279535083/403.19</f>
        <v>4363828.0823399555</v>
      </c>
      <c r="T46" s="335">
        <f t="shared" si="6"/>
        <v>21092210.790000003</v>
      </c>
      <c r="U46" s="7">
        <f t="shared" si="5"/>
        <v>21092210.790000003</v>
      </c>
      <c r="V46" s="312" t="s">
        <v>183</v>
      </c>
      <c r="W46" s="64"/>
      <c r="X46" s="47"/>
    </row>
    <row r="47" spans="1:25" s="68" customFormat="1" ht="15" customHeight="1" x14ac:dyDescent="0.25">
      <c r="A47" s="421" t="s">
        <v>158</v>
      </c>
      <c r="B47" s="422"/>
      <c r="C47" s="422"/>
      <c r="D47" s="425" t="s">
        <v>30</v>
      </c>
      <c r="E47" s="425"/>
      <c r="F47" s="425"/>
      <c r="G47" s="425"/>
      <c r="H47" s="425"/>
      <c r="I47" s="425"/>
      <c r="J47" s="425"/>
      <c r="K47" s="425"/>
      <c r="L47" s="425"/>
      <c r="M47" s="65"/>
      <c r="N47" s="66">
        <f>SUMIF($M$5:$M$46,D47,$N$5:$N$46)</f>
        <v>275755742.28000003</v>
      </c>
      <c r="O47" s="66"/>
      <c r="P47" s="66">
        <f>SUMIF($M$5:$M$46,D47,$P$5:$P$46)</f>
        <v>97929055.540000007</v>
      </c>
      <c r="Q47" s="66"/>
      <c r="R47" s="66">
        <f>SUMIF($M$5:$M$46,D47,$R$5:$R$46)</f>
        <v>37018590.7398488</v>
      </c>
      <c r="S47" s="66">
        <f>SUMIF($M$5:$M$46,D47,$S$5:$S$46)</f>
        <v>16520985.737643212</v>
      </c>
      <c r="T47" s="66">
        <f>SUMIF($M$5:$M$46,D47,$T$5:$T$46)</f>
        <v>60910464.800151199</v>
      </c>
      <c r="U47" s="66"/>
      <c r="V47" s="67"/>
      <c r="W47" s="41"/>
      <c r="X47" s="47"/>
    </row>
    <row r="48" spans="1:25" s="68" customFormat="1" ht="15" customHeight="1" x14ac:dyDescent="0.25">
      <c r="A48" s="423"/>
      <c r="B48" s="424"/>
      <c r="C48" s="424"/>
      <c r="D48" s="426" t="s">
        <v>51</v>
      </c>
      <c r="E48" s="426"/>
      <c r="F48" s="426"/>
      <c r="G48" s="426"/>
      <c r="H48" s="426"/>
      <c r="I48" s="426"/>
      <c r="J48" s="426"/>
      <c r="K48" s="426"/>
      <c r="L48" s="426"/>
      <c r="M48" s="69"/>
      <c r="N48" s="70">
        <f>SUMIF($M$5:$M$46,D48,$N$5:$N$46)</f>
        <v>50705739545.900002</v>
      </c>
      <c r="O48" s="70"/>
      <c r="P48" s="70">
        <f>SUMIF($M$5:$M$46,D48,$P$5:$P$46)</f>
        <v>69656751380</v>
      </c>
      <c r="Q48" s="70"/>
      <c r="R48" s="70">
        <f>SUMIF($M$5:$M$46,D48,$R$5:$R$46)</f>
        <v>14451402438.176321</v>
      </c>
      <c r="S48" s="70">
        <f>SUMIF($M$5:$M$46,D48,$S$5:$S$46)</f>
        <v>14256788344.72175</v>
      </c>
      <c r="T48" s="70">
        <f>SUMIF($M$5:$M$46,D48,$T$5:$T$46)</f>
        <v>55205348941.823685</v>
      </c>
      <c r="U48" s="70"/>
      <c r="V48" s="71"/>
      <c r="W48" s="45"/>
      <c r="X48" s="47"/>
    </row>
    <row r="49" spans="1:939" s="68" customFormat="1" ht="15" customHeight="1" x14ac:dyDescent="0.25">
      <c r="A49" s="423"/>
      <c r="B49" s="424"/>
      <c r="C49" s="424"/>
      <c r="D49" s="426" t="s">
        <v>26</v>
      </c>
      <c r="E49" s="426"/>
      <c r="F49" s="426"/>
      <c r="G49" s="426"/>
      <c r="H49" s="426"/>
      <c r="I49" s="426"/>
      <c r="J49" s="426"/>
      <c r="K49" s="426"/>
      <c r="L49" s="426"/>
      <c r="M49" s="69"/>
      <c r="N49" s="70">
        <f>SUMIF($M$5:$M$46,D49,$N$5:$N$46)</f>
        <v>443654882.94000006</v>
      </c>
      <c r="O49" s="70">
        <f>SUM(O2:O43)</f>
        <v>1097515424.9357631</v>
      </c>
      <c r="P49" s="70">
        <f>SUMIF($M$5:$M$46,D49,$P$5:$P$46)</f>
        <v>327049444.97000003</v>
      </c>
      <c r="Q49" s="70"/>
      <c r="R49" s="70">
        <f>SUMIF($M$5:$M$46,D49,$R$5:$R$46)</f>
        <v>95599159.355865896</v>
      </c>
      <c r="S49" s="70">
        <f>SUMIF($M$5:$M$46,D49,$S$5:$S$46)</f>
        <v>50998183.163421825</v>
      </c>
      <c r="T49" s="70">
        <f>SUMIF($M$5:$M$46,D49,$T$5:$T$46)</f>
        <v>231450285.61413413</v>
      </c>
      <c r="U49" s="70">
        <f>SUM(U2:U46)</f>
        <v>597604461.56874371</v>
      </c>
      <c r="V49" s="71"/>
      <c r="W49" s="45"/>
      <c r="X49" s="47"/>
    </row>
    <row r="50" spans="1:939" s="68" customFormat="1" ht="15" customHeight="1" x14ac:dyDescent="0.25">
      <c r="A50" s="423"/>
      <c r="B50" s="424"/>
      <c r="C50" s="424"/>
      <c r="D50" s="427" t="s">
        <v>18</v>
      </c>
      <c r="E50" s="427"/>
      <c r="F50" s="427"/>
      <c r="G50" s="427"/>
      <c r="H50" s="427"/>
      <c r="I50" s="427"/>
      <c r="J50" s="427"/>
      <c r="K50" s="427"/>
      <c r="L50" s="427"/>
      <c r="M50" s="72"/>
      <c r="N50" s="73">
        <f>SUMIF($M$5:$M$46,D50,$N$5:$N$46)</f>
        <v>31777311969</v>
      </c>
      <c r="O50" s="73"/>
      <c r="P50" s="73">
        <f>SUMIF($M$5:$M$46,D50,$P$5:$P$46)</f>
        <v>31859249643</v>
      </c>
      <c r="Q50" s="73"/>
      <c r="R50" s="73">
        <f>SUMIF($M$5:$M$46,D50,$R$5:$R$46)</f>
        <v>11608502507.734192</v>
      </c>
      <c r="S50" s="73">
        <f>SUMIF($M$5:$M$46,D50,$S$5:$S$46)</f>
        <v>3488879860.0944376</v>
      </c>
      <c r="T50" s="73">
        <f>SUMIF($M$5:$M$46,D50,$T$5:$T$46)</f>
        <v>20250747135.265808</v>
      </c>
      <c r="U50" s="73"/>
      <c r="V50" s="74"/>
      <c r="W50" s="75"/>
      <c r="X50" s="47"/>
    </row>
    <row r="51" spans="1:939" s="68" customFormat="1" ht="15" customHeight="1" thickBot="1" x14ac:dyDescent="0.3">
      <c r="A51" s="423"/>
      <c r="B51" s="424"/>
      <c r="C51" s="424"/>
      <c r="D51" s="428" t="s">
        <v>216</v>
      </c>
      <c r="E51" s="429"/>
      <c r="F51" s="429"/>
      <c r="G51" s="429"/>
      <c r="H51" s="429"/>
      <c r="I51" s="429"/>
      <c r="J51" s="429"/>
      <c r="K51" s="429"/>
      <c r="L51" s="430"/>
      <c r="M51" s="76"/>
      <c r="N51" s="77">
        <f>SUMIF($M$5:$M$46,D51,$N$5:$N$46)</f>
        <v>24086688</v>
      </c>
      <c r="O51" s="77"/>
      <c r="P51" s="77">
        <f>SUMIF($M$5:$M$46,D51,$P$5:$P$46)</f>
        <v>18384172.012149811</v>
      </c>
      <c r="Q51" s="77"/>
      <c r="R51" s="77">
        <f>SUMIF($M$5:$M$46,D51,$R$5:$R$46)</f>
        <v>3889303.4021576373</v>
      </c>
      <c r="S51" s="77">
        <f>SUMIF($M$5:$M$46,D51,$S$5:$S$46)</f>
        <v>2687639.4595199237</v>
      </c>
      <c r="T51" s="77">
        <f>SUMIF($M$5:$M$46,D51,$T$5:$T$46)</f>
        <v>14494868.609992173</v>
      </c>
      <c r="U51" s="77"/>
      <c r="V51" s="78"/>
      <c r="W51" s="64"/>
      <c r="X51" s="47"/>
    </row>
    <row r="52" spans="1:939" s="27" customFormat="1" ht="78" customHeight="1" outlineLevel="1" x14ac:dyDescent="0.25">
      <c r="A52" s="334">
        <v>29</v>
      </c>
      <c r="B52" s="308" t="s">
        <v>309</v>
      </c>
      <c r="C52" s="310" t="s">
        <v>171</v>
      </c>
      <c r="D52" s="322" t="s">
        <v>52</v>
      </c>
      <c r="E52" s="40" t="s">
        <v>30</v>
      </c>
      <c r="F52" s="337">
        <v>5000000</v>
      </c>
      <c r="G52" s="337">
        <v>5000000</v>
      </c>
      <c r="H52" s="332" t="s">
        <v>197</v>
      </c>
      <c r="I52" s="38">
        <v>1041667</v>
      </c>
      <c r="J52" s="337">
        <f>G52-I52</f>
        <v>3958333</v>
      </c>
      <c r="K52" s="331" t="s">
        <v>53</v>
      </c>
      <c r="L52" s="331" t="s">
        <v>81</v>
      </c>
      <c r="M52" s="40" t="s">
        <v>30</v>
      </c>
      <c r="N52" s="340">
        <v>5000000</v>
      </c>
      <c r="O52" s="340">
        <f>IF(M52=$B$150,N52,IF(M52=$B$152,N52*$C$152/$C$150,IF(M52=$B$151,N52*$C$151/$C$150,IF(M52=$B$149,N52/$C$150))))</f>
        <v>5532498.3324686876</v>
      </c>
      <c r="P52" s="340">
        <v>5000000</v>
      </c>
      <c r="Q52" s="332" t="s">
        <v>197</v>
      </c>
      <c r="R52" s="340">
        <f>4166666.69+208333.33+88124985.9/423</f>
        <v>4583333.3199999994</v>
      </c>
      <c r="S52" s="340">
        <f>553011.29+6019459.2/423</f>
        <v>567241.69000000006</v>
      </c>
      <c r="T52" s="340">
        <f t="shared" ref="T52:T57" si="7">P52-R52</f>
        <v>416666.68000000063</v>
      </c>
      <c r="U52" s="340">
        <f t="shared" ref="U52:U57" si="8">IF(M52=$B$150,T52,IF(M52=$B$152,T52*$C$152/$C$150,IF(M52=$B$151,T52*$C$151/$C$150,IF(M52=$B$149,T52/$C$150))))</f>
        <v>461041.54245905351</v>
      </c>
      <c r="V52" s="333" t="s">
        <v>111</v>
      </c>
      <c r="W52" s="41"/>
      <c r="X52" s="26"/>
    </row>
    <row r="53" spans="1:939" s="27" customFormat="1" ht="71.25" customHeight="1" outlineLevel="1" x14ac:dyDescent="0.25">
      <c r="A53" s="311">
        <v>30</v>
      </c>
      <c r="B53" s="392" t="s">
        <v>306</v>
      </c>
      <c r="C53" s="309" t="s">
        <v>172</v>
      </c>
      <c r="D53" s="320" t="s">
        <v>52</v>
      </c>
      <c r="E53" s="317" t="s">
        <v>30</v>
      </c>
      <c r="F53" s="314">
        <v>5000000</v>
      </c>
      <c r="G53" s="314">
        <f>3302053.81+58000+43500</f>
        <v>3403553.81</v>
      </c>
      <c r="H53" s="46" t="s">
        <v>197</v>
      </c>
      <c r="I53" s="314">
        <v>0</v>
      </c>
      <c r="J53" s="314">
        <f>G53-I53</f>
        <v>3403553.81</v>
      </c>
      <c r="K53" s="330" t="s">
        <v>54</v>
      </c>
      <c r="L53" s="330" t="s">
        <v>82</v>
      </c>
      <c r="M53" s="317" t="s">
        <v>30</v>
      </c>
      <c r="N53" s="7">
        <v>5000000</v>
      </c>
      <c r="O53" s="7">
        <f>IF(M53=$B$150,N53,IF(M53=$B$152,N53*$C$152/$C$150,IF(M53=$B$151,N53*$C$151/$C$150,IF(M53=$B$149,N53/$C$150))))</f>
        <v>5532498.3324686876</v>
      </c>
      <c r="P53" s="7">
        <v>5000000</v>
      </c>
      <c r="Q53" s="313" t="s">
        <v>197</v>
      </c>
      <c r="R53" s="7">
        <f>3125000+208333.33+88124985.9/423</f>
        <v>3541666.63</v>
      </c>
      <c r="S53" s="7">
        <f>320254.8+16091046.9/423</f>
        <v>358295.1</v>
      </c>
      <c r="T53" s="7">
        <f t="shared" si="7"/>
        <v>1458333.37</v>
      </c>
      <c r="U53" s="7">
        <f t="shared" si="8"/>
        <v>1613645.387541688</v>
      </c>
      <c r="V53" s="384" t="s">
        <v>111</v>
      </c>
      <c r="W53" s="45"/>
      <c r="X53" s="26"/>
    </row>
    <row r="54" spans="1:939" s="27" customFormat="1" ht="71.25" customHeight="1" outlineLevel="1" x14ac:dyDescent="0.25">
      <c r="A54" s="311">
        <v>31</v>
      </c>
      <c r="B54" s="393"/>
      <c r="C54" s="309"/>
      <c r="D54" s="320"/>
      <c r="E54" s="317"/>
      <c r="F54" s="314"/>
      <c r="G54" s="314"/>
      <c r="H54" s="46"/>
      <c r="I54" s="314"/>
      <c r="J54" s="314"/>
      <c r="K54" s="330"/>
      <c r="L54" s="330"/>
      <c r="M54" s="60" t="s">
        <v>51</v>
      </c>
      <c r="N54" s="7"/>
      <c r="O54" s="7"/>
      <c r="P54" s="7">
        <v>66094595</v>
      </c>
      <c r="Q54" s="313"/>
      <c r="R54" s="7">
        <f>6609471.44+6609433.4+6609473.7</f>
        <v>19828378.539999999</v>
      </c>
      <c r="S54" s="7">
        <f>1088882.59773529+1190830.4</f>
        <v>2279712.9977352899</v>
      </c>
      <c r="T54" s="7">
        <f t="shared" si="7"/>
        <v>46266216.460000001</v>
      </c>
      <c r="U54" s="7">
        <f t="shared" si="8"/>
        <v>114296.83653252303</v>
      </c>
      <c r="V54" s="376"/>
      <c r="W54" s="45"/>
      <c r="X54" s="26"/>
    </row>
    <row r="55" spans="1:939" s="27" customFormat="1" ht="55.5" customHeight="1" outlineLevel="1" x14ac:dyDescent="0.25">
      <c r="A55" s="315">
        <v>32</v>
      </c>
      <c r="B55" s="327" t="s">
        <v>307</v>
      </c>
      <c r="C55" s="316" t="s">
        <v>173</v>
      </c>
      <c r="D55" s="326" t="s">
        <v>56</v>
      </c>
      <c r="E55" s="317" t="s">
        <v>30</v>
      </c>
      <c r="F55" s="314">
        <v>5000000</v>
      </c>
      <c r="G55" s="314">
        <v>5000000</v>
      </c>
      <c r="H55" s="46" t="s">
        <v>198</v>
      </c>
      <c r="I55" s="43"/>
      <c r="J55" s="314">
        <f>G55-I55</f>
        <v>5000000</v>
      </c>
      <c r="K55" s="319" t="s">
        <v>55</v>
      </c>
      <c r="L55" s="319" t="s">
        <v>83</v>
      </c>
      <c r="M55" s="317" t="s">
        <v>30</v>
      </c>
      <c r="N55" s="7">
        <v>5000000</v>
      </c>
      <c r="O55" s="7">
        <f>IF(M55=$B$150,N55,IF(M55=$B$152,N55*$C$152/$C$150,IF(M55=$B$151,N55*$C$151/$C$150,IF(M55=$B$149,N55/$C$150))))</f>
        <v>5532498.3324686876</v>
      </c>
      <c r="P55" s="7">
        <v>5000000</v>
      </c>
      <c r="Q55" s="46" t="s">
        <v>197</v>
      </c>
      <c r="R55" s="7">
        <f>3227272.74+97124988.4/427.35+96136352.1/423</f>
        <v>3681818.1401287005</v>
      </c>
      <c r="S55" s="7">
        <v>475298.33641151118</v>
      </c>
      <c r="T55" s="7">
        <f t="shared" si="7"/>
        <v>1318181.8598712995</v>
      </c>
      <c r="U55" s="7">
        <f t="shared" si="8"/>
        <v>1458567.7883256874</v>
      </c>
      <c r="V55" s="44" t="s">
        <v>111</v>
      </c>
      <c r="W55" s="45"/>
      <c r="X55" s="26"/>
    </row>
    <row r="56" spans="1:939" s="27" customFormat="1" ht="57" customHeight="1" outlineLevel="1" x14ac:dyDescent="0.25">
      <c r="A56" s="383">
        <v>33</v>
      </c>
      <c r="B56" s="392" t="s">
        <v>308</v>
      </c>
      <c r="C56" s="384" t="s">
        <v>174</v>
      </c>
      <c r="D56" s="320" t="s">
        <v>56</v>
      </c>
      <c r="E56" s="60" t="s">
        <v>30</v>
      </c>
      <c r="F56" s="335">
        <v>5000000</v>
      </c>
      <c r="G56" s="335">
        <v>2000000</v>
      </c>
      <c r="H56" s="313" t="s">
        <v>199</v>
      </c>
      <c r="I56" s="335">
        <v>0</v>
      </c>
      <c r="J56" s="335">
        <f>G56-I56</f>
        <v>2000000</v>
      </c>
      <c r="K56" s="330" t="s">
        <v>57</v>
      </c>
      <c r="L56" s="330" t="s">
        <v>84</v>
      </c>
      <c r="M56" s="60" t="s">
        <v>30</v>
      </c>
      <c r="N56" s="339">
        <v>5000000</v>
      </c>
      <c r="O56" s="339">
        <f>IF(M56=$B$150,N56,IF(M56=$B$152,N56*$C$152/$C$150,IF(M56=$B$151,N56*$C$151/$C$150,IF(M56=$B$149,N56/$C$150))))</f>
        <v>5532498.3324686876</v>
      </c>
      <c r="P56" s="7">
        <v>3000000</v>
      </c>
      <c r="Q56" s="58" t="s">
        <v>378</v>
      </c>
      <c r="R56" s="7">
        <f>676724.137931034+46797420.6/423</f>
        <v>787356.33793103392</v>
      </c>
      <c r="S56" s="7">
        <f>222742.9+6254858.7/423</f>
        <v>237529.8</v>
      </c>
      <c r="T56" s="339">
        <f t="shared" si="7"/>
        <v>2212643.6620689658</v>
      </c>
      <c r="U56" s="339">
        <f t="shared" si="8"/>
        <v>2448289.4741487927</v>
      </c>
      <c r="V56" s="381" t="s">
        <v>111</v>
      </c>
      <c r="W56" s="45"/>
      <c r="X56" s="26"/>
    </row>
    <row r="57" spans="1:939" s="27" customFormat="1" ht="57" customHeight="1" outlineLevel="1" thickBot="1" x14ac:dyDescent="0.3">
      <c r="A57" s="416"/>
      <c r="B57" s="417"/>
      <c r="C57" s="418"/>
      <c r="D57" s="320" t="s">
        <v>56</v>
      </c>
      <c r="E57" s="60" t="s">
        <v>30</v>
      </c>
      <c r="F57" s="335">
        <v>5000000</v>
      </c>
      <c r="G57" s="335">
        <v>2000000</v>
      </c>
      <c r="H57" s="313" t="s">
        <v>199</v>
      </c>
      <c r="I57" s="335">
        <v>0</v>
      </c>
      <c r="J57" s="335">
        <f>G57-I57</f>
        <v>2000000</v>
      </c>
      <c r="K57" s="330" t="s">
        <v>57</v>
      </c>
      <c r="L57" s="330" t="s">
        <v>356</v>
      </c>
      <c r="M57" s="60" t="s">
        <v>51</v>
      </c>
      <c r="N57" s="339"/>
      <c r="O57" s="339">
        <f>IF(M57=$B$150,N57,IF(M57=$B$152,N57*$C$152/$C$150,IF(M57=$B$151,N57*$C$151/$C$150,IF(M57=$B$149,N57/$C$150))))</f>
        <v>0</v>
      </c>
      <c r="P57" s="7">
        <v>69055257.109999999</v>
      </c>
      <c r="Q57" s="58">
        <v>1.404E-2</v>
      </c>
      <c r="R57" s="7">
        <f>9751561.92837819+3148517</f>
        <v>12900078.928378191</v>
      </c>
      <c r="S57" s="7">
        <f>1328413.8+491137.6</f>
        <v>1819551.4</v>
      </c>
      <c r="T57" s="339">
        <f t="shared" si="7"/>
        <v>56155178.181621805</v>
      </c>
      <c r="U57" s="339">
        <f t="shared" si="8"/>
        <v>138726.69330176586</v>
      </c>
      <c r="V57" s="419"/>
      <c r="W57" s="64"/>
      <c r="X57" s="26"/>
    </row>
    <row r="58" spans="1:939" s="85" customFormat="1" ht="15" customHeight="1" x14ac:dyDescent="0.25">
      <c r="A58" s="431" t="s">
        <v>159</v>
      </c>
      <c r="B58" s="432"/>
      <c r="C58" s="432"/>
      <c r="D58" s="437" t="s">
        <v>30</v>
      </c>
      <c r="E58" s="437"/>
      <c r="F58" s="437"/>
      <c r="G58" s="437"/>
      <c r="H58" s="437"/>
      <c r="I58" s="437"/>
      <c r="J58" s="437"/>
      <c r="K58" s="437"/>
      <c r="L58" s="437"/>
      <c r="M58" s="79"/>
      <c r="N58" s="80">
        <f>SUMIF($M$52:$M$57,D58,$N$52:$N$57)</f>
        <v>20000000</v>
      </c>
      <c r="O58" s="81"/>
      <c r="P58" s="82">
        <f>SUMIF($M$52:$M$57,D58,$P$52:$P$57)</f>
        <v>18000000</v>
      </c>
      <c r="Q58" s="81"/>
      <c r="R58" s="82">
        <f>SUMIF($M$52:$M$57,D58,$R$52:$R$57)</f>
        <v>12594174.428059733</v>
      </c>
      <c r="S58" s="82">
        <f>SUMIF($M$52:$M$57,D58,$S$52:$S$57)</f>
        <v>1638364.9264115111</v>
      </c>
      <c r="T58" s="80">
        <f>SUMIF($M$52:$M$57,D58,$T$52:$T$57)</f>
        <v>5405825.5719402656</v>
      </c>
      <c r="U58" s="81"/>
      <c r="V58" s="83"/>
      <c r="W58" s="84"/>
      <c r="X58" s="47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  <c r="DD58" s="68"/>
      <c r="DE58" s="68"/>
      <c r="DF58" s="68"/>
      <c r="DG58" s="68"/>
      <c r="DH58" s="68"/>
      <c r="DI58" s="68"/>
      <c r="DJ58" s="68"/>
      <c r="DK58" s="68"/>
      <c r="DL58" s="68"/>
      <c r="DM58" s="68"/>
      <c r="DN58" s="68"/>
      <c r="DO58" s="68"/>
      <c r="DP58" s="68"/>
      <c r="DQ58" s="68"/>
      <c r="DR58" s="68"/>
      <c r="DS58" s="68"/>
      <c r="DT58" s="68"/>
      <c r="DU58" s="68"/>
      <c r="DV58" s="68"/>
      <c r="DW58" s="68"/>
      <c r="DX58" s="68"/>
      <c r="DY58" s="68"/>
      <c r="DZ58" s="68"/>
      <c r="EA58" s="68"/>
      <c r="EB58" s="68"/>
      <c r="EC58" s="68"/>
      <c r="ED58" s="68"/>
      <c r="EE58" s="68"/>
      <c r="EF58" s="68"/>
      <c r="EG58" s="68"/>
      <c r="EH58" s="68"/>
      <c r="EI58" s="68"/>
      <c r="EJ58" s="68"/>
      <c r="EK58" s="68"/>
      <c r="EL58" s="68"/>
      <c r="EM58" s="68"/>
      <c r="EN58" s="68"/>
      <c r="EO58" s="68"/>
      <c r="EP58" s="68"/>
      <c r="EQ58" s="68"/>
      <c r="ER58" s="68"/>
      <c r="ES58" s="68"/>
      <c r="ET58" s="68"/>
      <c r="EU58" s="68"/>
      <c r="EV58" s="68"/>
      <c r="EW58" s="68"/>
      <c r="EX58" s="68"/>
      <c r="EY58" s="68"/>
      <c r="EZ58" s="68"/>
      <c r="FA58" s="68"/>
      <c r="FB58" s="68"/>
      <c r="FC58" s="68"/>
      <c r="FD58" s="68"/>
      <c r="FE58" s="68"/>
      <c r="FF58" s="68"/>
      <c r="FG58" s="68"/>
      <c r="FH58" s="68"/>
      <c r="FI58" s="68"/>
      <c r="FJ58" s="68"/>
      <c r="FK58" s="68"/>
      <c r="FL58" s="68"/>
      <c r="FM58" s="68"/>
      <c r="FN58" s="68"/>
      <c r="FO58" s="68"/>
      <c r="FP58" s="68"/>
      <c r="FQ58" s="68"/>
      <c r="FR58" s="68"/>
      <c r="FS58" s="68"/>
      <c r="FT58" s="68"/>
      <c r="FU58" s="68"/>
      <c r="FV58" s="68"/>
      <c r="FW58" s="68"/>
      <c r="FX58" s="68"/>
      <c r="FY58" s="68"/>
      <c r="FZ58" s="68"/>
      <c r="GA58" s="68"/>
      <c r="GB58" s="68"/>
      <c r="GC58" s="68"/>
      <c r="GD58" s="68"/>
      <c r="GE58" s="68"/>
      <c r="GF58" s="68"/>
      <c r="GG58" s="68"/>
      <c r="GH58" s="68"/>
      <c r="GI58" s="68"/>
      <c r="GJ58" s="68"/>
      <c r="GK58" s="68"/>
      <c r="GL58" s="68"/>
      <c r="GM58" s="68"/>
      <c r="GN58" s="68"/>
      <c r="GO58" s="68"/>
      <c r="GP58" s="68"/>
      <c r="GQ58" s="68"/>
      <c r="GR58" s="68"/>
      <c r="GS58" s="68"/>
      <c r="GT58" s="68"/>
      <c r="GU58" s="68"/>
      <c r="GV58" s="68"/>
      <c r="GW58" s="68"/>
      <c r="GX58" s="68"/>
      <c r="GY58" s="68"/>
      <c r="GZ58" s="68"/>
      <c r="HA58" s="68"/>
      <c r="HB58" s="68"/>
      <c r="HC58" s="68"/>
      <c r="HD58" s="68"/>
      <c r="HE58" s="68"/>
      <c r="HF58" s="68"/>
      <c r="HG58" s="68"/>
      <c r="HH58" s="68"/>
      <c r="HI58" s="68"/>
      <c r="HJ58" s="68"/>
      <c r="HK58" s="68"/>
      <c r="HL58" s="68"/>
      <c r="HM58" s="68"/>
      <c r="HN58" s="68"/>
      <c r="HO58" s="68"/>
      <c r="HP58" s="68"/>
      <c r="HQ58" s="68"/>
      <c r="HR58" s="68"/>
      <c r="HS58" s="68"/>
      <c r="HT58" s="68"/>
      <c r="HU58" s="68"/>
      <c r="HV58" s="68"/>
      <c r="HW58" s="68"/>
      <c r="HX58" s="68"/>
      <c r="HY58" s="68"/>
      <c r="HZ58" s="68"/>
      <c r="IA58" s="68"/>
      <c r="IB58" s="68"/>
      <c r="IC58" s="68"/>
      <c r="ID58" s="68"/>
      <c r="IE58" s="68"/>
      <c r="IF58" s="68"/>
      <c r="IG58" s="68"/>
      <c r="IH58" s="68"/>
      <c r="II58" s="68"/>
      <c r="IJ58" s="68"/>
      <c r="IK58" s="68"/>
      <c r="IL58" s="68"/>
      <c r="IM58" s="68"/>
      <c r="IN58" s="68"/>
      <c r="IO58" s="68"/>
      <c r="IP58" s="68"/>
      <c r="IQ58" s="68"/>
      <c r="IR58" s="68"/>
      <c r="IS58" s="68"/>
      <c r="IT58" s="68"/>
      <c r="IU58" s="68"/>
      <c r="IV58" s="68"/>
      <c r="IW58" s="68"/>
      <c r="IX58" s="68"/>
      <c r="IY58" s="68"/>
      <c r="IZ58" s="68"/>
      <c r="JA58" s="68"/>
      <c r="JB58" s="68"/>
      <c r="JC58" s="68"/>
      <c r="JD58" s="68"/>
      <c r="JE58" s="68"/>
      <c r="JF58" s="68"/>
      <c r="JG58" s="68"/>
      <c r="JH58" s="68"/>
      <c r="JI58" s="68"/>
      <c r="JJ58" s="68"/>
      <c r="JK58" s="68"/>
      <c r="JL58" s="68"/>
      <c r="JM58" s="68"/>
      <c r="JN58" s="68"/>
      <c r="JO58" s="68"/>
      <c r="JP58" s="68"/>
      <c r="JQ58" s="68"/>
      <c r="JR58" s="68"/>
      <c r="JS58" s="68"/>
      <c r="JT58" s="68"/>
      <c r="JU58" s="68"/>
      <c r="JV58" s="68"/>
      <c r="JW58" s="68"/>
      <c r="JX58" s="68"/>
      <c r="JY58" s="68"/>
      <c r="JZ58" s="68"/>
      <c r="KA58" s="68"/>
      <c r="KB58" s="68"/>
      <c r="KC58" s="68"/>
      <c r="KD58" s="68"/>
      <c r="KE58" s="68"/>
      <c r="KF58" s="68"/>
      <c r="KG58" s="68"/>
      <c r="KH58" s="68"/>
      <c r="KI58" s="68"/>
      <c r="KJ58" s="68"/>
      <c r="KK58" s="68"/>
      <c r="KL58" s="68"/>
      <c r="KM58" s="68"/>
      <c r="KN58" s="68"/>
      <c r="KO58" s="68"/>
      <c r="KP58" s="68"/>
      <c r="KQ58" s="68"/>
      <c r="KR58" s="68"/>
      <c r="KS58" s="68"/>
      <c r="KT58" s="68"/>
      <c r="KU58" s="68"/>
      <c r="KV58" s="68"/>
      <c r="KW58" s="68"/>
      <c r="KX58" s="68"/>
      <c r="KY58" s="68"/>
      <c r="KZ58" s="68"/>
      <c r="LA58" s="68"/>
      <c r="LB58" s="68"/>
      <c r="LC58" s="68"/>
      <c r="LD58" s="68"/>
      <c r="LE58" s="68"/>
      <c r="LF58" s="68"/>
      <c r="LG58" s="68"/>
      <c r="LH58" s="68"/>
      <c r="LI58" s="68"/>
      <c r="LJ58" s="68"/>
      <c r="LK58" s="68"/>
      <c r="LL58" s="68"/>
      <c r="LM58" s="68"/>
      <c r="LN58" s="68"/>
      <c r="LO58" s="68"/>
      <c r="LP58" s="68"/>
      <c r="LQ58" s="68"/>
      <c r="LR58" s="68"/>
      <c r="LS58" s="68"/>
      <c r="LT58" s="68"/>
      <c r="LU58" s="68"/>
      <c r="LV58" s="68"/>
      <c r="LW58" s="68"/>
      <c r="LX58" s="68"/>
      <c r="LY58" s="68"/>
      <c r="LZ58" s="68"/>
      <c r="MA58" s="68"/>
      <c r="MB58" s="68"/>
      <c r="MC58" s="68"/>
      <c r="MD58" s="68"/>
      <c r="ME58" s="68"/>
      <c r="MF58" s="68"/>
      <c r="MG58" s="68"/>
      <c r="MH58" s="68"/>
      <c r="MI58" s="68"/>
      <c r="MJ58" s="68"/>
      <c r="MK58" s="68"/>
      <c r="ML58" s="68"/>
      <c r="MM58" s="68"/>
      <c r="MN58" s="68"/>
      <c r="MO58" s="68"/>
      <c r="MP58" s="68"/>
      <c r="MQ58" s="68"/>
      <c r="MR58" s="68"/>
      <c r="MS58" s="68"/>
      <c r="MT58" s="68"/>
      <c r="MU58" s="68"/>
      <c r="MV58" s="68"/>
      <c r="MW58" s="68"/>
      <c r="MX58" s="68"/>
      <c r="MY58" s="68"/>
      <c r="MZ58" s="68"/>
      <c r="NA58" s="68"/>
      <c r="NB58" s="68"/>
      <c r="NC58" s="68"/>
      <c r="ND58" s="68"/>
      <c r="NE58" s="68"/>
      <c r="NF58" s="68"/>
      <c r="NG58" s="68"/>
      <c r="NH58" s="68"/>
      <c r="NI58" s="68"/>
      <c r="NJ58" s="68"/>
      <c r="NK58" s="68"/>
      <c r="NL58" s="68"/>
      <c r="NM58" s="68"/>
      <c r="NN58" s="68"/>
      <c r="NO58" s="68"/>
      <c r="NP58" s="68"/>
      <c r="NQ58" s="68"/>
      <c r="NR58" s="68"/>
      <c r="NS58" s="68"/>
      <c r="NT58" s="68"/>
      <c r="NU58" s="68"/>
      <c r="NV58" s="68"/>
      <c r="NW58" s="68"/>
      <c r="NX58" s="68"/>
      <c r="NY58" s="68"/>
      <c r="NZ58" s="68"/>
      <c r="OA58" s="68"/>
      <c r="OB58" s="68"/>
      <c r="OC58" s="68"/>
      <c r="OD58" s="68"/>
      <c r="OE58" s="68"/>
      <c r="OF58" s="68"/>
      <c r="OG58" s="68"/>
      <c r="OH58" s="68"/>
      <c r="OI58" s="68"/>
      <c r="OJ58" s="68"/>
      <c r="OK58" s="68"/>
      <c r="OL58" s="68"/>
      <c r="OM58" s="68"/>
      <c r="ON58" s="68"/>
      <c r="OO58" s="68"/>
      <c r="OP58" s="68"/>
      <c r="OQ58" s="68"/>
      <c r="OR58" s="68"/>
      <c r="OS58" s="68"/>
      <c r="OT58" s="68"/>
      <c r="OU58" s="68"/>
      <c r="OV58" s="68"/>
      <c r="OW58" s="68"/>
      <c r="OX58" s="68"/>
      <c r="OY58" s="68"/>
      <c r="OZ58" s="68"/>
      <c r="PA58" s="68"/>
      <c r="PB58" s="68"/>
      <c r="PC58" s="68"/>
      <c r="PD58" s="68"/>
      <c r="PE58" s="68"/>
      <c r="PF58" s="68"/>
      <c r="PG58" s="68"/>
      <c r="PH58" s="68"/>
      <c r="PI58" s="68"/>
      <c r="PJ58" s="68"/>
      <c r="PK58" s="68"/>
      <c r="PL58" s="68"/>
      <c r="PM58" s="68"/>
      <c r="PN58" s="68"/>
      <c r="PO58" s="68"/>
      <c r="PP58" s="68"/>
      <c r="PQ58" s="68"/>
      <c r="PR58" s="68"/>
      <c r="PS58" s="68"/>
      <c r="PT58" s="68"/>
      <c r="PU58" s="68"/>
      <c r="PV58" s="68"/>
      <c r="PW58" s="68"/>
      <c r="PX58" s="68"/>
      <c r="PY58" s="68"/>
      <c r="PZ58" s="68"/>
      <c r="QA58" s="68"/>
      <c r="QB58" s="68"/>
      <c r="QC58" s="68"/>
      <c r="QD58" s="68"/>
      <c r="QE58" s="68"/>
      <c r="QF58" s="68"/>
      <c r="QG58" s="68"/>
      <c r="QH58" s="68"/>
      <c r="QI58" s="68"/>
      <c r="QJ58" s="68"/>
      <c r="QK58" s="68"/>
      <c r="QL58" s="68"/>
      <c r="QM58" s="68"/>
      <c r="QN58" s="68"/>
      <c r="QO58" s="68"/>
      <c r="QP58" s="68"/>
      <c r="QQ58" s="68"/>
      <c r="QR58" s="68"/>
      <c r="QS58" s="68"/>
      <c r="QT58" s="68"/>
      <c r="QU58" s="68"/>
      <c r="QV58" s="68"/>
      <c r="QW58" s="68"/>
      <c r="QX58" s="68"/>
      <c r="QY58" s="68"/>
      <c r="QZ58" s="68"/>
      <c r="RA58" s="68"/>
      <c r="RB58" s="68"/>
      <c r="RC58" s="68"/>
      <c r="RD58" s="68"/>
      <c r="RE58" s="68"/>
      <c r="RF58" s="68"/>
      <c r="RG58" s="68"/>
      <c r="RH58" s="68"/>
      <c r="RI58" s="68"/>
      <c r="RJ58" s="68"/>
      <c r="RK58" s="68"/>
      <c r="RL58" s="68"/>
      <c r="RM58" s="68"/>
      <c r="RN58" s="68"/>
      <c r="RO58" s="68"/>
      <c r="RP58" s="68"/>
      <c r="RQ58" s="68"/>
      <c r="RR58" s="68"/>
      <c r="RS58" s="68"/>
      <c r="RT58" s="68"/>
      <c r="RU58" s="68"/>
      <c r="RV58" s="68"/>
      <c r="RW58" s="68"/>
      <c r="RX58" s="68"/>
      <c r="RY58" s="68"/>
      <c r="RZ58" s="68"/>
      <c r="SA58" s="68"/>
      <c r="SB58" s="68"/>
      <c r="SC58" s="68"/>
      <c r="SD58" s="68"/>
      <c r="SE58" s="68"/>
      <c r="SF58" s="68"/>
      <c r="SG58" s="68"/>
      <c r="SH58" s="68"/>
      <c r="SI58" s="68"/>
      <c r="SJ58" s="68"/>
      <c r="SK58" s="68"/>
      <c r="SL58" s="68"/>
      <c r="SM58" s="68"/>
      <c r="SN58" s="68"/>
      <c r="SO58" s="68"/>
      <c r="SP58" s="68"/>
      <c r="SQ58" s="68"/>
      <c r="SR58" s="68"/>
      <c r="SS58" s="68"/>
      <c r="ST58" s="68"/>
      <c r="SU58" s="68"/>
      <c r="SV58" s="68"/>
      <c r="SW58" s="68"/>
      <c r="SX58" s="68"/>
      <c r="SY58" s="68"/>
      <c r="SZ58" s="68"/>
      <c r="TA58" s="68"/>
      <c r="TB58" s="68"/>
      <c r="TC58" s="68"/>
      <c r="TD58" s="68"/>
      <c r="TE58" s="68"/>
      <c r="TF58" s="68"/>
      <c r="TG58" s="68"/>
      <c r="TH58" s="68"/>
      <c r="TI58" s="68"/>
      <c r="TJ58" s="68"/>
      <c r="TK58" s="68"/>
      <c r="TL58" s="68"/>
      <c r="TM58" s="68"/>
      <c r="TN58" s="68"/>
      <c r="TO58" s="68"/>
      <c r="TP58" s="68"/>
      <c r="TQ58" s="68"/>
      <c r="TR58" s="68"/>
      <c r="TS58" s="68"/>
      <c r="TT58" s="68"/>
      <c r="TU58" s="68"/>
      <c r="TV58" s="68"/>
      <c r="TW58" s="68"/>
      <c r="TX58" s="68"/>
      <c r="TY58" s="68"/>
      <c r="TZ58" s="68"/>
      <c r="UA58" s="68"/>
      <c r="UB58" s="68"/>
      <c r="UC58" s="68"/>
      <c r="UD58" s="68"/>
      <c r="UE58" s="68"/>
      <c r="UF58" s="68"/>
      <c r="UG58" s="68"/>
      <c r="UH58" s="68"/>
      <c r="UI58" s="68"/>
      <c r="UJ58" s="68"/>
      <c r="UK58" s="68"/>
      <c r="UL58" s="68"/>
      <c r="UM58" s="68"/>
      <c r="UN58" s="68"/>
      <c r="UO58" s="68"/>
      <c r="UP58" s="68"/>
      <c r="UQ58" s="68"/>
      <c r="UR58" s="68"/>
      <c r="US58" s="68"/>
      <c r="UT58" s="68"/>
      <c r="UU58" s="68"/>
      <c r="UV58" s="68"/>
      <c r="UW58" s="68"/>
      <c r="UX58" s="68"/>
      <c r="UY58" s="68"/>
      <c r="UZ58" s="68"/>
      <c r="VA58" s="68"/>
      <c r="VB58" s="68"/>
      <c r="VC58" s="68"/>
      <c r="VD58" s="68"/>
      <c r="VE58" s="68"/>
      <c r="VF58" s="68"/>
      <c r="VG58" s="68"/>
      <c r="VH58" s="68"/>
      <c r="VI58" s="68"/>
      <c r="VJ58" s="68"/>
      <c r="VK58" s="68"/>
      <c r="VL58" s="68"/>
      <c r="VM58" s="68"/>
      <c r="VN58" s="68"/>
      <c r="VO58" s="68"/>
      <c r="VP58" s="68"/>
      <c r="VQ58" s="68"/>
      <c r="VR58" s="68"/>
      <c r="VS58" s="68"/>
      <c r="VT58" s="68"/>
      <c r="VU58" s="68"/>
      <c r="VV58" s="68"/>
      <c r="VW58" s="68"/>
      <c r="VX58" s="68"/>
      <c r="VY58" s="68"/>
      <c r="VZ58" s="68"/>
      <c r="WA58" s="68"/>
      <c r="WB58" s="68"/>
      <c r="WC58" s="68"/>
      <c r="WD58" s="68"/>
      <c r="WE58" s="68"/>
      <c r="WF58" s="68"/>
      <c r="WG58" s="68"/>
      <c r="WH58" s="68"/>
      <c r="WI58" s="68"/>
      <c r="WJ58" s="68"/>
      <c r="WK58" s="68"/>
      <c r="WL58" s="68"/>
      <c r="WM58" s="68"/>
      <c r="WN58" s="68"/>
      <c r="WO58" s="68"/>
      <c r="WP58" s="68"/>
      <c r="WQ58" s="68"/>
      <c r="WR58" s="68"/>
      <c r="WS58" s="68"/>
      <c r="WT58" s="68"/>
      <c r="WU58" s="68"/>
      <c r="WV58" s="68"/>
      <c r="WW58" s="68"/>
      <c r="WX58" s="68"/>
      <c r="WY58" s="68"/>
      <c r="WZ58" s="68"/>
      <c r="XA58" s="68"/>
      <c r="XB58" s="68"/>
      <c r="XC58" s="68"/>
      <c r="XD58" s="68"/>
      <c r="XE58" s="68"/>
      <c r="XF58" s="68"/>
      <c r="XG58" s="68"/>
      <c r="XH58" s="68"/>
      <c r="XI58" s="68"/>
      <c r="XJ58" s="68"/>
      <c r="XK58" s="68"/>
      <c r="XL58" s="68"/>
      <c r="XM58" s="68"/>
      <c r="XN58" s="68"/>
      <c r="XO58" s="68"/>
      <c r="XP58" s="68"/>
      <c r="XQ58" s="68"/>
      <c r="XR58" s="68"/>
      <c r="XS58" s="68"/>
      <c r="XT58" s="68"/>
      <c r="XU58" s="68"/>
      <c r="XV58" s="68"/>
      <c r="XW58" s="68"/>
      <c r="XX58" s="68"/>
      <c r="XY58" s="68"/>
      <c r="XZ58" s="68"/>
      <c r="YA58" s="68"/>
      <c r="YB58" s="68"/>
      <c r="YC58" s="68"/>
      <c r="YD58" s="68"/>
      <c r="YE58" s="68"/>
      <c r="YF58" s="68"/>
      <c r="YG58" s="68"/>
      <c r="YH58" s="68"/>
      <c r="YI58" s="68"/>
      <c r="YJ58" s="68"/>
      <c r="YK58" s="68"/>
      <c r="YL58" s="68"/>
      <c r="YM58" s="68"/>
      <c r="YN58" s="68"/>
      <c r="YO58" s="68"/>
      <c r="YP58" s="68"/>
      <c r="YQ58" s="68"/>
      <c r="YR58" s="68"/>
      <c r="YS58" s="68"/>
      <c r="YT58" s="68"/>
      <c r="YU58" s="68"/>
      <c r="YV58" s="68"/>
      <c r="YW58" s="68"/>
      <c r="YX58" s="68"/>
      <c r="YY58" s="68"/>
      <c r="YZ58" s="68"/>
      <c r="ZA58" s="68"/>
      <c r="ZB58" s="68"/>
      <c r="ZC58" s="68"/>
      <c r="ZD58" s="68"/>
      <c r="ZE58" s="68"/>
      <c r="ZF58" s="68"/>
      <c r="ZG58" s="68"/>
      <c r="ZH58" s="68"/>
      <c r="ZI58" s="68"/>
      <c r="ZJ58" s="68"/>
      <c r="ZK58" s="68"/>
      <c r="ZL58" s="68"/>
      <c r="ZM58" s="68"/>
      <c r="ZN58" s="68"/>
      <c r="ZO58" s="68"/>
      <c r="ZP58" s="68"/>
      <c r="ZQ58" s="68"/>
      <c r="ZR58" s="68"/>
      <c r="ZS58" s="68"/>
      <c r="ZT58" s="68"/>
      <c r="ZU58" s="68"/>
      <c r="ZV58" s="68"/>
      <c r="ZW58" s="68"/>
      <c r="ZX58" s="68"/>
      <c r="ZY58" s="68"/>
      <c r="ZZ58" s="68"/>
      <c r="AAA58" s="68"/>
      <c r="AAB58" s="68"/>
      <c r="AAC58" s="68"/>
      <c r="AAD58" s="68"/>
      <c r="AAE58" s="68"/>
      <c r="AAF58" s="68"/>
      <c r="AAG58" s="68"/>
      <c r="AAH58" s="68"/>
      <c r="AAI58" s="68"/>
      <c r="AAJ58" s="68"/>
      <c r="AAK58" s="68"/>
      <c r="AAL58" s="68"/>
      <c r="AAM58" s="68"/>
      <c r="AAN58" s="68"/>
      <c r="AAO58" s="68"/>
      <c r="AAP58" s="68"/>
      <c r="AAQ58" s="68"/>
      <c r="AAR58" s="68"/>
      <c r="AAS58" s="68"/>
      <c r="AAT58" s="68"/>
      <c r="AAU58" s="68"/>
      <c r="AAV58" s="68"/>
      <c r="AAW58" s="68"/>
      <c r="AAX58" s="68"/>
      <c r="AAY58" s="68"/>
      <c r="AAZ58" s="68"/>
      <c r="ABA58" s="68"/>
      <c r="ABB58" s="68"/>
      <c r="ABC58" s="68"/>
      <c r="ABD58" s="68"/>
      <c r="ABE58" s="68"/>
      <c r="ABF58" s="68"/>
      <c r="ABG58" s="68"/>
      <c r="ABH58" s="68"/>
      <c r="ABI58" s="68"/>
      <c r="ABJ58" s="68"/>
      <c r="ABK58" s="68"/>
      <c r="ABL58" s="68"/>
      <c r="ABM58" s="68"/>
      <c r="ABN58" s="68"/>
      <c r="ABO58" s="68"/>
      <c r="ABP58" s="68"/>
      <c r="ABQ58" s="68"/>
      <c r="ABR58" s="68"/>
      <c r="ABS58" s="68"/>
      <c r="ABT58" s="68"/>
      <c r="ABU58" s="68"/>
      <c r="ABV58" s="68"/>
      <c r="ABW58" s="68"/>
      <c r="ABX58" s="68"/>
      <c r="ABY58" s="68"/>
      <c r="ABZ58" s="68"/>
      <c r="ACA58" s="68"/>
      <c r="ACB58" s="68"/>
      <c r="ACC58" s="68"/>
      <c r="ACD58" s="68"/>
      <c r="ACE58" s="68"/>
      <c r="ACF58" s="68"/>
      <c r="ACG58" s="68"/>
      <c r="ACH58" s="68"/>
      <c r="ACI58" s="68"/>
      <c r="ACJ58" s="68"/>
      <c r="ACK58" s="68"/>
      <c r="ACL58" s="68"/>
      <c r="ACM58" s="68"/>
      <c r="ACN58" s="68"/>
      <c r="ACO58" s="68"/>
      <c r="ACP58" s="68"/>
      <c r="ACQ58" s="68"/>
      <c r="ACR58" s="68"/>
      <c r="ACS58" s="68"/>
      <c r="ACT58" s="68"/>
      <c r="ACU58" s="68"/>
      <c r="ACV58" s="68"/>
      <c r="ACW58" s="68"/>
      <c r="ACX58" s="68"/>
      <c r="ACY58" s="68"/>
      <c r="ACZ58" s="68"/>
      <c r="ADA58" s="68"/>
      <c r="ADB58" s="68"/>
      <c r="ADC58" s="68"/>
      <c r="ADD58" s="68"/>
      <c r="ADE58" s="68"/>
      <c r="ADF58" s="68"/>
      <c r="ADG58" s="68"/>
      <c r="ADH58" s="68"/>
      <c r="ADI58" s="68"/>
      <c r="ADJ58" s="68"/>
      <c r="ADK58" s="68"/>
      <c r="ADL58" s="68"/>
      <c r="ADM58" s="68"/>
      <c r="ADN58" s="68"/>
      <c r="ADO58" s="68"/>
      <c r="ADP58" s="68"/>
      <c r="ADQ58" s="68"/>
      <c r="ADR58" s="68"/>
      <c r="ADS58" s="68"/>
      <c r="ADT58" s="68"/>
      <c r="ADU58" s="68"/>
      <c r="ADV58" s="68"/>
      <c r="ADW58" s="68"/>
      <c r="ADX58" s="68"/>
      <c r="ADY58" s="68"/>
      <c r="ADZ58" s="68"/>
      <c r="AEA58" s="68"/>
      <c r="AEB58" s="68"/>
      <c r="AEC58" s="68"/>
      <c r="AED58" s="68"/>
      <c r="AEE58" s="68"/>
      <c r="AEF58" s="68"/>
      <c r="AEG58" s="68"/>
      <c r="AEH58" s="68"/>
      <c r="AEI58" s="68"/>
      <c r="AEJ58" s="68"/>
      <c r="AEK58" s="68"/>
      <c r="AEL58" s="68"/>
      <c r="AEM58" s="68"/>
      <c r="AEN58" s="68"/>
      <c r="AEO58" s="68"/>
      <c r="AEP58" s="68"/>
      <c r="AEQ58" s="68"/>
      <c r="AER58" s="68"/>
      <c r="AES58" s="68"/>
      <c r="AET58" s="68"/>
      <c r="AEU58" s="68"/>
      <c r="AEV58" s="68"/>
      <c r="AEW58" s="68"/>
      <c r="AEX58" s="68"/>
      <c r="AEY58" s="68"/>
      <c r="AEZ58" s="68"/>
      <c r="AFA58" s="68"/>
      <c r="AFB58" s="68"/>
      <c r="AFC58" s="68"/>
      <c r="AFD58" s="68"/>
      <c r="AFE58" s="68"/>
      <c r="AFF58" s="68"/>
      <c r="AFG58" s="68"/>
      <c r="AFH58" s="68"/>
      <c r="AFI58" s="68"/>
      <c r="AFJ58" s="68"/>
      <c r="AFK58" s="68"/>
      <c r="AFL58" s="68"/>
      <c r="AFM58" s="68"/>
      <c r="AFN58" s="68"/>
      <c r="AFO58" s="68"/>
      <c r="AFP58" s="68"/>
      <c r="AFQ58" s="68"/>
      <c r="AFR58" s="68"/>
      <c r="AFS58" s="68"/>
      <c r="AFT58" s="68"/>
      <c r="AFU58" s="68"/>
      <c r="AFV58" s="68"/>
      <c r="AFW58" s="68"/>
      <c r="AFX58" s="68"/>
      <c r="AFY58" s="68"/>
      <c r="AFZ58" s="68"/>
      <c r="AGA58" s="68"/>
      <c r="AGB58" s="68"/>
      <c r="AGC58" s="68"/>
      <c r="AGD58" s="68"/>
      <c r="AGE58" s="68"/>
      <c r="AGF58" s="68"/>
      <c r="AGG58" s="68"/>
      <c r="AGH58" s="68"/>
      <c r="AGI58" s="68"/>
      <c r="AGJ58" s="68"/>
      <c r="AGK58" s="68"/>
      <c r="AGL58" s="68"/>
      <c r="AGM58" s="68"/>
      <c r="AGN58" s="68"/>
      <c r="AGO58" s="68"/>
      <c r="AGP58" s="68"/>
      <c r="AGQ58" s="68"/>
      <c r="AGR58" s="68"/>
      <c r="AGS58" s="68"/>
      <c r="AGT58" s="68"/>
      <c r="AGU58" s="68"/>
      <c r="AGV58" s="68"/>
      <c r="AGW58" s="68"/>
      <c r="AGX58" s="68"/>
      <c r="AGY58" s="68"/>
      <c r="AGZ58" s="68"/>
      <c r="AHA58" s="68"/>
      <c r="AHB58" s="68"/>
      <c r="AHC58" s="68"/>
      <c r="AHD58" s="68"/>
      <c r="AHE58" s="68"/>
      <c r="AHF58" s="68"/>
      <c r="AHG58" s="68"/>
      <c r="AHH58" s="68"/>
      <c r="AHI58" s="68"/>
      <c r="AHJ58" s="68"/>
      <c r="AHK58" s="68"/>
      <c r="AHL58" s="68"/>
      <c r="AHM58" s="68"/>
      <c r="AHN58" s="68"/>
      <c r="AHO58" s="68"/>
      <c r="AHP58" s="68"/>
      <c r="AHQ58" s="68"/>
      <c r="AHR58" s="68"/>
      <c r="AHS58" s="68"/>
      <c r="AHT58" s="68"/>
      <c r="AHU58" s="68"/>
      <c r="AHV58" s="68"/>
      <c r="AHW58" s="68"/>
      <c r="AHX58" s="68"/>
      <c r="AHY58" s="68"/>
      <c r="AHZ58" s="68"/>
      <c r="AIA58" s="68"/>
      <c r="AIB58" s="68"/>
      <c r="AIC58" s="68"/>
      <c r="AID58" s="68"/>
      <c r="AIE58" s="68"/>
      <c r="AIF58" s="68"/>
      <c r="AIG58" s="68"/>
      <c r="AIH58" s="68"/>
      <c r="AII58" s="68"/>
      <c r="AIJ58" s="68"/>
      <c r="AIK58" s="68"/>
      <c r="AIL58" s="68"/>
      <c r="AIM58" s="68"/>
      <c r="AIN58" s="68"/>
      <c r="AIO58" s="68"/>
      <c r="AIP58" s="68"/>
      <c r="AIQ58" s="68"/>
      <c r="AIR58" s="68"/>
      <c r="AIS58" s="68"/>
      <c r="AIT58" s="68"/>
      <c r="AIU58" s="68"/>
      <c r="AIV58" s="68"/>
      <c r="AIW58" s="68"/>
      <c r="AIX58" s="68"/>
      <c r="AIY58" s="68"/>
      <c r="AIZ58" s="68"/>
      <c r="AJA58" s="68"/>
      <c r="AJB58" s="68"/>
      <c r="AJC58" s="68"/>
    </row>
    <row r="59" spans="1:939" s="85" customFormat="1" ht="15" customHeight="1" x14ac:dyDescent="0.25">
      <c r="A59" s="433"/>
      <c r="B59" s="434"/>
      <c r="C59" s="434"/>
      <c r="D59" s="438" t="s">
        <v>51</v>
      </c>
      <c r="E59" s="438"/>
      <c r="F59" s="438"/>
      <c r="G59" s="438"/>
      <c r="H59" s="438"/>
      <c r="I59" s="438"/>
      <c r="J59" s="438"/>
      <c r="K59" s="438"/>
      <c r="L59" s="438"/>
      <c r="M59" s="86"/>
      <c r="N59" s="87">
        <f>SUMIF($M$52:$M$57,D59,$N$52:$N$57)</f>
        <v>0</v>
      </c>
      <c r="O59" s="87"/>
      <c r="P59" s="88">
        <f>SUMIF($M$52:$M$57,D59,$P$52:$P$57)</f>
        <v>135149852.11000001</v>
      </c>
      <c r="Q59" s="87"/>
      <c r="R59" s="88">
        <f>SUMIF($M$52:$M$57,D59,$R$52:$R$57)</f>
        <v>32728457.46837819</v>
      </c>
      <c r="S59" s="88">
        <f>SUMIF($M$52:$M$57,D59,$S$52:$S$57)</f>
        <v>4099264.3977352898</v>
      </c>
      <c r="T59" s="87">
        <f>SUMIF($M$52:$M$57,D59,$T$52:$T$57)</f>
        <v>102421394.6416218</v>
      </c>
      <c r="U59" s="87"/>
      <c r="V59" s="89"/>
      <c r="W59" s="90"/>
      <c r="X59" s="47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  <c r="DD59" s="68"/>
      <c r="DE59" s="68"/>
      <c r="DF59" s="68"/>
      <c r="DG59" s="68"/>
      <c r="DH59" s="68"/>
      <c r="DI59" s="68"/>
      <c r="DJ59" s="68"/>
      <c r="DK59" s="68"/>
      <c r="DL59" s="68"/>
      <c r="DM59" s="68"/>
      <c r="DN59" s="68"/>
      <c r="DO59" s="68"/>
      <c r="DP59" s="68"/>
      <c r="DQ59" s="68"/>
      <c r="DR59" s="68"/>
      <c r="DS59" s="68"/>
      <c r="DT59" s="68"/>
      <c r="DU59" s="68"/>
      <c r="DV59" s="68"/>
      <c r="DW59" s="68"/>
      <c r="DX59" s="68"/>
      <c r="DY59" s="68"/>
      <c r="DZ59" s="68"/>
      <c r="EA59" s="68"/>
      <c r="EB59" s="68"/>
      <c r="EC59" s="68"/>
      <c r="ED59" s="68"/>
      <c r="EE59" s="68"/>
      <c r="EF59" s="68"/>
      <c r="EG59" s="68"/>
      <c r="EH59" s="68"/>
      <c r="EI59" s="68"/>
      <c r="EJ59" s="68"/>
      <c r="EK59" s="68"/>
      <c r="EL59" s="68"/>
      <c r="EM59" s="68"/>
      <c r="EN59" s="68"/>
      <c r="EO59" s="68"/>
      <c r="EP59" s="68"/>
      <c r="EQ59" s="68"/>
      <c r="ER59" s="68"/>
      <c r="ES59" s="68"/>
      <c r="ET59" s="68"/>
      <c r="EU59" s="68"/>
      <c r="EV59" s="68"/>
      <c r="EW59" s="68"/>
      <c r="EX59" s="68"/>
      <c r="EY59" s="68"/>
      <c r="EZ59" s="68"/>
      <c r="FA59" s="68"/>
      <c r="FB59" s="68"/>
      <c r="FC59" s="68"/>
      <c r="FD59" s="68"/>
      <c r="FE59" s="68"/>
      <c r="FF59" s="68"/>
      <c r="FG59" s="68"/>
      <c r="FH59" s="68"/>
      <c r="FI59" s="68"/>
      <c r="FJ59" s="68"/>
      <c r="FK59" s="68"/>
      <c r="FL59" s="68"/>
      <c r="FM59" s="68"/>
      <c r="FN59" s="68"/>
      <c r="FO59" s="68"/>
      <c r="FP59" s="68"/>
      <c r="FQ59" s="68"/>
      <c r="FR59" s="68"/>
      <c r="FS59" s="68"/>
      <c r="FT59" s="68"/>
      <c r="FU59" s="68"/>
      <c r="FV59" s="68"/>
      <c r="FW59" s="68"/>
      <c r="FX59" s="68"/>
      <c r="FY59" s="68"/>
      <c r="FZ59" s="68"/>
      <c r="GA59" s="68"/>
      <c r="GB59" s="68"/>
      <c r="GC59" s="68"/>
      <c r="GD59" s="68"/>
      <c r="GE59" s="68"/>
      <c r="GF59" s="68"/>
      <c r="GG59" s="68"/>
      <c r="GH59" s="68"/>
      <c r="GI59" s="68"/>
      <c r="GJ59" s="68"/>
      <c r="GK59" s="68"/>
      <c r="GL59" s="68"/>
      <c r="GM59" s="68"/>
      <c r="GN59" s="68"/>
      <c r="GO59" s="68"/>
      <c r="GP59" s="68"/>
      <c r="GQ59" s="68"/>
      <c r="GR59" s="68"/>
      <c r="GS59" s="68"/>
      <c r="GT59" s="68"/>
      <c r="GU59" s="68"/>
      <c r="GV59" s="68"/>
      <c r="GW59" s="68"/>
      <c r="GX59" s="68"/>
      <c r="GY59" s="68"/>
      <c r="GZ59" s="68"/>
      <c r="HA59" s="68"/>
      <c r="HB59" s="68"/>
      <c r="HC59" s="68"/>
      <c r="HD59" s="68"/>
      <c r="HE59" s="68"/>
      <c r="HF59" s="68"/>
      <c r="HG59" s="68"/>
      <c r="HH59" s="68"/>
      <c r="HI59" s="68"/>
      <c r="HJ59" s="68"/>
      <c r="HK59" s="68"/>
      <c r="HL59" s="68"/>
      <c r="HM59" s="68"/>
      <c r="HN59" s="68"/>
      <c r="HO59" s="68"/>
      <c r="HP59" s="68"/>
      <c r="HQ59" s="68"/>
      <c r="HR59" s="68"/>
      <c r="HS59" s="68"/>
      <c r="HT59" s="68"/>
      <c r="HU59" s="68"/>
      <c r="HV59" s="68"/>
      <c r="HW59" s="68"/>
      <c r="HX59" s="68"/>
      <c r="HY59" s="68"/>
      <c r="HZ59" s="68"/>
      <c r="IA59" s="68"/>
      <c r="IB59" s="68"/>
      <c r="IC59" s="68"/>
      <c r="ID59" s="68"/>
      <c r="IE59" s="68"/>
      <c r="IF59" s="68"/>
      <c r="IG59" s="68"/>
      <c r="IH59" s="68"/>
      <c r="II59" s="68"/>
      <c r="IJ59" s="68"/>
      <c r="IK59" s="68"/>
      <c r="IL59" s="68"/>
      <c r="IM59" s="68"/>
      <c r="IN59" s="68"/>
      <c r="IO59" s="68"/>
      <c r="IP59" s="68"/>
      <c r="IQ59" s="68"/>
      <c r="IR59" s="68"/>
      <c r="IS59" s="68"/>
      <c r="IT59" s="68"/>
      <c r="IU59" s="68"/>
      <c r="IV59" s="68"/>
      <c r="IW59" s="68"/>
      <c r="IX59" s="68"/>
      <c r="IY59" s="68"/>
      <c r="IZ59" s="68"/>
      <c r="JA59" s="68"/>
      <c r="JB59" s="68"/>
      <c r="JC59" s="68"/>
      <c r="JD59" s="68"/>
      <c r="JE59" s="68"/>
      <c r="JF59" s="68"/>
      <c r="JG59" s="68"/>
      <c r="JH59" s="68"/>
      <c r="JI59" s="68"/>
      <c r="JJ59" s="68"/>
      <c r="JK59" s="68"/>
      <c r="JL59" s="68"/>
      <c r="JM59" s="68"/>
      <c r="JN59" s="68"/>
      <c r="JO59" s="68"/>
      <c r="JP59" s="68"/>
      <c r="JQ59" s="68"/>
      <c r="JR59" s="68"/>
      <c r="JS59" s="68"/>
      <c r="JT59" s="68"/>
      <c r="JU59" s="68"/>
      <c r="JV59" s="68"/>
      <c r="JW59" s="68"/>
      <c r="JX59" s="68"/>
      <c r="JY59" s="68"/>
      <c r="JZ59" s="68"/>
      <c r="KA59" s="68"/>
      <c r="KB59" s="68"/>
      <c r="KC59" s="68"/>
      <c r="KD59" s="68"/>
      <c r="KE59" s="68"/>
      <c r="KF59" s="68"/>
      <c r="KG59" s="68"/>
      <c r="KH59" s="68"/>
      <c r="KI59" s="68"/>
      <c r="KJ59" s="68"/>
      <c r="KK59" s="68"/>
      <c r="KL59" s="68"/>
      <c r="KM59" s="68"/>
      <c r="KN59" s="68"/>
      <c r="KO59" s="68"/>
      <c r="KP59" s="68"/>
      <c r="KQ59" s="68"/>
      <c r="KR59" s="68"/>
      <c r="KS59" s="68"/>
      <c r="KT59" s="68"/>
      <c r="KU59" s="68"/>
      <c r="KV59" s="68"/>
      <c r="KW59" s="68"/>
      <c r="KX59" s="68"/>
      <c r="KY59" s="68"/>
      <c r="KZ59" s="68"/>
      <c r="LA59" s="68"/>
      <c r="LB59" s="68"/>
      <c r="LC59" s="68"/>
      <c r="LD59" s="68"/>
      <c r="LE59" s="68"/>
      <c r="LF59" s="68"/>
      <c r="LG59" s="68"/>
      <c r="LH59" s="68"/>
      <c r="LI59" s="68"/>
      <c r="LJ59" s="68"/>
      <c r="LK59" s="68"/>
      <c r="LL59" s="68"/>
      <c r="LM59" s="68"/>
      <c r="LN59" s="68"/>
      <c r="LO59" s="68"/>
      <c r="LP59" s="68"/>
      <c r="LQ59" s="68"/>
      <c r="LR59" s="68"/>
      <c r="LS59" s="68"/>
      <c r="LT59" s="68"/>
      <c r="LU59" s="68"/>
      <c r="LV59" s="68"/>
      <c r="LW59" s="68"/>
      <c r="LX59" s="68"/>
      <c r="LY59" s="68"/>
      <c r="LZ59" s="68"/>
      <c r="MA59" s="68"/>
      <c r="MB59" s="68"/>
      <c r="MC59" s="68"/>
      <c r="MD59" s="68"/>
      <c r="ME59" s="68"/>
      <c r="MF59" s="68"/>
      <c r="MG59" s="68"/>
      <c r="MH59" s="68"/>
      <c r="MI59" s="68"/>
      <c r="MJ59" s="68"/>
      <c r="MK59" s="68"/>
      <c r="ML59" s="68"/>
      <c r="MM59" s="68"/>
      <c r="MN59" s="68"/>
      <c r="MO59" s="68"/>
      <c r="MP59" s="68"/>
      <c r="MQ59" s="68"/>
      <c r="MR59" s="68"/>
      <c r="MS59" s="68"/>
      <c r="MT59" s="68"/>
      <c r="MU59" s="68"/>
      <c r="MV59" s="68"/>
      <c r="MW59" s="68"/>
      <c r="MX59" s="68"/>
      <c r="MY59" s="68"/>
      <c r="MZ59" s="68"/>
      <c r="NA59" s="68"/>
      <c r="NB59" s="68"/>
      <c r="NC59" s="68"/>
      <c r="ND59" s="68"/>
      <c r="NE59" s="68"/>
      <c r="NF59" s="68"/>
      <c r="NG59" s="68"/>
      <c r="NH59" s="68"/>
      <c r="NI59" s="68"/>
      <c r="NJ59" s="68"/>
      <c r="NK59" s="68"/>
      <c r="NL59" s="68"/>
      <c r="NM59" s="68"/>
      <c r="NN59" s="68"/>
      <c r="NO59" s="68"/>
      <c r="NP59" s="68"/>
      <c r="NQ59" s="68"/>
      <c r="NR59" s="68"/>
      <c r="NS59" s="68"/>
      <c r="NT59" s="68"/>
      <c r="NU59" s="68"/>
      <c r="NV59" s="68"/>
      <c r="NW59" s="68"/>
      <c r="NX59" s="68"/>
      <c r="NY59" s="68"/>
      <c r="NZ59" s="68"/>
      <c r="OA59" s="68"/>
      <c r="OB59" s="68"/>
      <c r="OC59" s="68"/>
      <c r="OD59" s="68"/>
      <c r="OE59" s="68"/>
      <c r="OF59" s="68"/>
      <c r="OG59" s="68"/>
      <c r="OH59" s="68"/>
      <c r="OI59" s="68"/>
      <c r="OJ59" s="68"/>
      <c r="OK59" s="68"/>
      <c r="OL59" s="68"/>
      <c r="OM59" s="68"/>
      <c r="ON59" s="68"/>
      <c r="OO59" s="68"/>
      <c r="OP59" s="68"/>
      <c r="OQ59" s="68"/>
      <c r="OR59" s="68"/>
      <c r="OS59" s="68"/>
      <c r="OT59" s="68"/>
      <c r="OU59" s="68"/>
      <c r="OV59" s="68"/>
      <c r="OW59" s="68"/>
      <c r="OX59" s="68"/>
      <c r="OY59" s="68"/>
      <c r="OZ59" s="68"/>
      <c r="PA59" s="68"/>
      <c r="PB59" s="68"/>
      <c r="PC59" s="68"/>
      <c r="PD59" s="68"/>
      <c r="PE59" s="68"/>
      <c r="PF59" s="68"/>
      <c r="PG59" s="68"/>
      <c r="PH59" s="68"/>
      <c r="PI59" s="68"/>
      <c r="PJ59" s="68"/>
      <c r="PK59" s="68"/>
      <c r="PL59" s="68"/>
      <c r="PM59" s="68"/>
      <c r="PN59" s="68"/>
      <c r="PO59" s="68"/>
      <c r="PP59" s="68"/>
      <c r="PQ59" s="68"/>
      <c r="PR59" s="68"/>
      <c r="PS59" s="68"/>
      <c r="PT59" s="68"/>
      <c r="PU59" s="68"/>
      <c r="PV59" s="68"/>
      <c r="PW59" s="68"/>
      <c r="PX59" s="68"/>
      <c r="PY59" s="68"/>
      <c r="PZ59" s="68"/>
      <c r="QA59" s="68"/>
      <c r="QB59" s="68"/>
      <c r="QC59" s="68"/>
      <c r="QD59" s="68"/>
      <c r="QE59" s="68"/>
      <c r="QF59" s="68"/>
      <c r="QG59" s="68"/>
      <c r="QH59" s="68"/>
      <c r="QI59" s="68"/>
      <c r="QJ59" s="68"/>
      <c r="QK59" s="68"/>
      <c r="QL59" s="68"/>
      <c r="QM59" s="68"/>
      <c r="QN59" s="68"/>
      <c r="QO59" s="68"/>
      <c r="QP59" s="68"/>
      <c r="QQ59" s="68"/>
      <c r="QR59" s="68"/>
      <c r="QS59" s="68"/>
      <c r="QT59" s="68"/>
      <c r="QU59" s="68"/>
      <c r="QV59" s="68"/>
      <c r="QW59" s="68"/>
      <c r="QX59" s="68"/>
      <c r="QY59" s="68"/>
      <c r="QZ59" s="68"/>
      <c r="RA59" s="68"/>
      <c r="RB59" s="68"/>
      <c r="RC59" s="68"/>
      <c r="RD59" s="68"/>
      <c r="RE59" s="68"/>
      <c r="RF59" s="68"/>
      <c r="RG59" s="68"/>
      <c r="RH59" s="68"/>
      <c r="RI59" s="68"/>
      <c r="RJ59" s="68"/>
      <c r="RK59" s="68"/>
      <c r="RL59" s="68"/>
      <c r="RM59" s="68"/>
      <c r="RN59" s="68"/>
      <c r="RO59" s="68"/>
      <c r="RP59" s="68"/>
      <c r="RQ59" s="68"/>
      <c r="RR59" s="68"/>
      <c r="RS59" s="68"/>
      <c r="RT59" s="68"/>
      <c r="RU59" s="68"/>
      <c r="RV59" s="68"/>
      <c r="RW59" s="68"/>
      <c r="RX59" s="68"/>
      <c r="RY59" s="68"/>
      <c r="RZ59" s="68"/>
      <c r="SA59" s="68"/>
      <c r="SB59" s="68"/>
      <c r="SC59" s="68"/>
      <c r="SD59" s="68"/>
      <c r="SE59" s="68"/>
      <c r="SF59" s="68"/>
      <c r="SG59" s="68"/>
      <c r="SH59" s="68"/>
      <c r="SI59" s="68"/>
      <c r="SJ59" s="68"/>
      <c r="SK59" s="68"/>
      <c r="SL59" s="68"/>
      <c r="SM59" s="68"/>
      <c r="SN59" s="68"/>
      <c r="SO59" s="68"/>
      <c r="SP59" s="68"/>
      <c r="SQ59" s="68"/>
      <c r="SR59" s="68"/>
      <c r="SS59" s="68"/>
      <c r="ST59" s="68"/>
      <c r="SU59" s="68"/>
      <c r="SV59" s="68"/>
      <c r="SW59" s="68"/>
      <c r="SX59" s="68"/>
      <c r="SY59" s="68"/>
      <c r="SZ59" s="68"/>
      <c r="TA59" s="68"/>
      <c r="TB59" s="68"/>
      <c r="TC59" s="68"/>
      <c r="TD59" s="68"/>
      <c r="TE59" s="68"/>
      <c r="TF59" s="68"/>
      <c r="TG59" s="68"/>
      <c r="TH59" s="68"/>
      <c r="TI59" s="68"/>
      <c r="TJ59" s="68"/>
      <c r="TK59" s="68"/>
      <c r="TL59" s="68"/>
      <c r="TM59" s="68"/>
      <c r="TN59" s="68"/>
      <c r="TO59" s="68"/>
      <c r="TP59" s="68"/>
      <c r="TQ59" s="68"/>
      <c r="TR59" s="68"/>
      <c r="TS59" s="68"/>
      <c r="TT59" s="68"/>
      <c r="TU59" s="68"/>
      <c r="TV59" s="68"/>
      <c r="TW59" s="68"/>
      <c r="TX59" s="68"/>
      <c r="TY59" s="68"/>
      <c r="TZ59" s="68"/>
      <c r="UA59" s="68"/>
      <c r="UB59" s="68"/>
      <c r="UC59" s="68"/>
      <c r="UD59" s="68"/>
      <c r="UE59" s="68"/>
      <c r="UF59" s="68"/>
      <c r="UG59" s="68"/>
      <c r="UH59" s="68"/>
      <c r="UI59" s="68"/>
      <c r="UJ59" s="68"/>
      <c r="UK59" s="68"/>
      <c r="UL59" s="68"/>
      <c r="UM59" s="68"/>
      <c r="UN59" s="68"/>
      <c r="UO59" s="68"/>
      <c r="UP59" s="68"/>
      <c r="UQ59" s="68"/>
      <c r="UR59" s="68"/>
      <c r="US59" s="68"/>
      <c r="UT59" s="68"/>
      <c r="UU59" s="68"/>
      <c r="UV59" s="68"/>
      <c r="UW59" s="68"/>
      <c r="UX59" s="68"/>
      <c r="UY59" s="68"/>
      <c r="UZ59" s="68"/>
      <c r="VA59" s="68"/>
      <c r="VB59" s="68"/>
      <c r="VC59" s="68"/>
      <c r="VD59" s="68"/>
      <c r="VE59" s="68"/>
      <c r="VF59" s="68"/>
      <c r="VG59" s="68"/>
      <c r="VH59" s="68"/>
      <c r="VI59" s="68"/>
      <c r="VJ59" s="68"/>
      <c r="VK59" s="68"/>
      <c r="VL59" s="68"/>
      <c r="VM59" s="68"/>
      <c r="VN59" s="68"/>
      <c r="VO59" s="68"/>
      <c r="VP59" s="68"/>
      <c r="VQ59" s="68"/>
      <c r="VR59" s="68"/>
      <c r="VS59" s="68"/>
      <c r="VT59" s="68"/>
      <c r="VU59" s="68"/>
      <c r="VV59" s="68"/>
      <c r="VW59" s="68"/>
      <c r="VX59" s="68"/>
      <c r="VY59" s="68"/>
      <c r="VZ59" s="68"/>
      <c r="WA59" s="68"/>
      <c r="WB59" s="68"/>
      <c r="WC59" s="68"/>
      <c r="WD59" s="68"/>
      <c r="WE59" s="68"/>
      <c r="WF59" s="68"/>
      <c r="WG59" s="68"/>
      <c r="WH59" s="68"/>
      <c r="WI59" s="68"/>
      <c r="WJ59" s="68"/>
      <c r="WK59" s="68"/>
      <c r="WL59" s="68"/>
      <c r="WM59" s="68"/>
      <c r="WN59" s="68"/>
      <c r="WO59" s="68"/>
      <c r="WP59" s="68"/>
      <c r="WQ59" s="68"/>
      <c r="WR59" s="68"/>
      <c r="WS59" s="68"/>
      <c r="WT59" s="68"/>
      <c r="WU59" s="68"/>
      <c r="WV59" s="68"/>
      <c r="WW59" s="68"/>
      <c r="WX59" s="68"/>
      <c r="WY59" s="68"/>
      <c r="WZ59" s="68"/>
      <c r="XA59" s="68"/>
      <c r="XB59" s="68"/>
      <c r="XC59" s="68"/>
      <c r="XD59" s="68"/>
      <c r="XE59" s="68"/>
      <c r="XF59" s="68"/>
      <c r="XG59" s="68"/>
      <c r="XH59" s="68"/>
      <c r="XI59" s="68"/>
      <c r="XJ59" s="68"/>
      <c r="XK59" s="68"/>
      <c r="XL59" s="68"/>
      <c r="XM59" s="68"/>
      <c r="XN59" s="68"/>
      <c r="XO59" s="68"/>
      <c r="XP59" s="68"/>
      <c r="XQ59" s="68"/>
      <c r="XR59" s="68"/>
      <c r="XS59" s="68"/>
      <c r="XT59" s="68"/>
      <c r="XU59" s="68"/>
      <c r="XV59" s="68"/>
      <c r="XW59" s="68"/>
      <c r="XX59" s="68"/>
      <c r="XY59" s="68"/>
      <c r="XZ59" s="68"/>
      <c r="YA59" s="68"/>
      <c r="YB59" s="68"/>
      <c r="YC59" s="68"/>
      <c r="YD59" s="68"/>
      <c r="YE59" s="68"/>
      <c r="YF59" s="68"/>
      <c r="YG59" s="68"/>
      <c r="YH59" s="68"/>
      <c r="YI59" s="68"/>
      <c r="YJ59" s="68"/>
      <c r="YK59" s="68"/>
      <c r="YL59" s="68"/>
      <c r="YM59" s="68"/>
      <c r="YN59" s="68"/>
      <c r="YO59" s="68"/>
      <c r="YP59" s="68"/>
      <c r="YQ59" s="68"/>
      <c r="YR59" s="68"/>
      <c r="YS59" s="68"/>
      <c r="YT59" s="68"/>
      <c r="YU59" s="68"/>
      <c r="YV59" s="68"/>
      <c r="YW59" s="68"/>
      <c r="YX59" s="68"/>
      <c r="YY59" s="68"/>
      <c r="YZ59" s="68"/>
      <c r="ZA59" s="68"/>
      <c r="ZB59" s="68"/>
      <c r="ZC59" s="68"/>
      <c r="ZD59" s="68"/>
      <c r="ZE59" s="68"/>
      <c r="ZF59" s="68"/>
      <c r="ZG59" s="68"/>
      <c r="ZH59" s="68"/>
      <c r="ZI59" s="68"/>
      <c r="ZJ59" s="68"/>
      <c r="ZK59" s="68"/>
      <c r="ZL59" s="68"/>
      <c r="ZM59" s="68"/>
      <c r="ZN59" s="68"/>
      <c r="ZO59" s="68"/>
      <c r="ZP59" s="68"/>
      <c r="ZQ59" s="68"/>
      <c r="ZR59" s="68"/>
      <c r="ZS59" s="68"/>
      <c r="ZT59" s="68"/>
      <c r="ZU59" s="68"/>
      <c r="ZV59" s="68"/>
      <c r="ZW59" s="68"/>
      <c r="ZX59" s="68"/>
      <c r="ZY59" s="68"/>
      <c r="ZZ59" s="68"/>
      <c r="AAA59" s="68"/>
      <c r="AAB59" s="68"/>
      <c r="AAC59" s="68"/>
      <c r="AAD59" s="68"/>
      <c r="AAE59" s="68"/>
      <c r="AAF59" s="68"/>
      <c r="AAG59" s="68"/>
      <c r="AAH59" s="68"/>
      <c r="AAI59" s="68"/>
      <c r="AAJ59" s="68"/>
      <c r="AAK59" s="68"/>
      <c r="AAL59" s="68"/>
      <c r="AAM59" s="68"/>
      <c r="AAN59" s="68"/>
      <c r="AAO59" s="68"/>
      <c r="AAP59" s="68"/>
      <c r="AAQ59" s="68"/>
      <c r="AAR59" s="68"/>
      <c r="AAS59" s="68"/>
      <c r="AAT59" s="68"/>
      <c r="AAU59" s="68"/>
      <c r="AAV59" s="68"/>
      <c r="AAW59" s="68"/>
      <c r="AAX59" s="68"/>
      <c r="AAY59" s="68"/>
      <c r="AAZ59" s="68"/>
      <c r="ABA59" s="68"/>
      <c r="ABB59" s="68"/>
      <c r="ABC59" s="68"/>
      <c r="ABD59" s="68"/>
      <c r="ABE59" s="68"/>
      <c r="ABF59" s="68"/>
      <c r="ABG59" s="68"/>
      <c r="ABH59" s="68"/>
      <c r="ABI59" s="68"/>
      <c r="ABJ59" s="68"/>
      <c r="ABK59" s="68"/>
      <c r="ABL59" s="68"/>
      <c r="ABM59" s="68"/>
      <c r="ABN59" s="68"/>
      <c r="ABO59" s="68"/>
      <c r="ABP59" s="68"/>
      <c r="ABQ59" s="68"/>
      <c r="ABR59" s="68"/>
      <c r="ABS59" s="68"/>
      <c r="ABT59" s="68"/>
      <c r="ABU59" s="68"/>
      <c r="ABV59" s="68"/>
      <c r="ABW59" s="68"/>
      <c r="ABX59" s="68"/>
      <c r="ABY59" s="68"/>
      <c r="ABZ59" s="68"/>
      <c r="ACA59" s="68"/>
      <c r="ACB59" s="68"/>
      <c r="ACC59" s="68"/>
      <c r="ACD59" s="68"/>
      <c r="ACE59" s="68"/>
      <c r="ACF59" s="68"/>
      <c r="ACG59" s="68"/>
      <c r="ACH59" s="68"/>
      <c r="ACI59" s="68"/>
      <c r="ACJ59" s="68"/>
      <c r="ACK59" s="68"/>
      <c r="ACL59" s="68"/>
      <c r="ACM59" s="68"/>
      <c r="ACN59" s="68"/>
      <c r="ACO59" s="68"/>
      <c r="ACP59" s="68"/>
      <c r="ACQ59" s="68"/>
      <c r="ACR59" s="68"/>
      <c r="ACS59" s="68"/>
      <c r="ACT59" s="68"/>
      <c r="ACU59" s="68"/>
      <c r="ACV59" s="68"/>
      <c r="ACW59" s="68"/>
      <c r="ACX59" s="68"/>
      <c r="ACY59" s="68"/>
      <c r="ACZ59" s="68"/>
      <c r="ADA59" s="68"/>
      <c r="ADB59" s="68"/>
      <c r="ADC59" s="68"/>
      <c r="ADD59" s="68"/>
      <c r="ADE59" s="68"/>
      <c r="ADF59" s="68"/>
      <c r="ADG59" s="68"/>
      <c r="ADH59" s="68"/>
      <c r="ADI59" s="68"/>
      <c r="ADJ59" s="68"/>
      <c r="ADK59" s="68"/>
      <c r="ADL59" s="68"/>
      <c r="ADM59" s="68"/>
      <c r="ADN59" s="68"/>
      <c r="ADO59" s="68"/>
      <c r="ADP59" s="68"/>
      <c r="ADQ59" s="68"/>
      <c r="ADR59" s="68"/>
      <c r="ADS59" s="68"/>
      <c r="ADT59" s="68"/>
      <c r="ADU59" s="68"/>
      <c r="ADV59" s="68"/>
      <c r="ADW59" s="68"/>
      <c r="ADX59" s="68"/>
      <c r="ADY59" s="68"/>
      <c r="ADZ59" s="68"/>
      <c r="AEA59" s="68"/>
      <c r="AEB59" s="68"/>
      <c r="AEC59" s="68"/>
      <c r="AED59" s="68"/>
      <c r="AEE59" s="68"/>
      <c r="AEF59" s="68"/>
      <c r="AEG59" s="68"/>
      <c r="AEH59" s="68"/>
      <c r="AEI59" s="68"/>
      <c r="AEJ59" s="68"/>
      <c r="AEK59" s="68"/>
      <c r="AEL59" s="68"/>
      <c r="AEM59" s="68"/>
      <c r="AEN59" s="68"/>
      <c r="AEO59" s="68"/>
      <c r="AEP59" s="68"/>
      <c r="AEQ59" s="68"/>
      <c r="AER59" s="68"/>
      <c r="AES59" s="68"/>
      <c r="AET59" s="68"/>
      <c r="AEU59" s="68"/>
      <c r="AEV59" s="68"/>
      <c r="AEW59" s="68"/>
      <c r="AEX59" s="68"/>
      <c r="AEY59" s="68"/>
      <c r="AEZ59" s="68"/>
      <c r="AFA59" s="68"/>
      <c r="AFB59" s="68"/>
      <c r="AFC59" s="68"/>
      <c r="AFD59" s="68"/>
      <c r="AFE59" s="68"/>
      <c r="AFF59" s="68"/>
      <c r="AFG59" s="68"/>
      <c r="AFH59" s="68"/>
      <c r="AFI59" s="68"/>
      <c r="AFJ59" s="68"/>
      <c r="AFK59" s="68"/>
      <c r="AFL59" s="68"/>
      <c r="AFM59" s="68"/>
      <c r="AFN59" s="68"/>
      <c r="AFO59" s="68"/>
      <c r="AFP59" s="68"/>
      <c r="AFQ59" s="68"/>
      <c r="AFR59" s="68"/>
      <c r="AFS59" s="68"/>
      <c r="AFT59" s="68"/>
      <c r="AFU59" s="68"/>
      <c r="AFV59" s="68"/>
      <c r="AFW59" s="68"/>
      <c r="AFX59" s="68"/>
      <c r="AFY59" s="68"/>
      <c r="AFZ59" s="68"/>
      <c r="AGA59" s="68"/>
      <c r="AGB59" s="68"/>
      <c r="AGC59" s="68"/>
      <c r="AGD59" s="68"/>
      <c r="AGE59" s="68"/>
      <c r="AGF59" s="68"/>
      <c r="AGG59" s="68"/>
      <c r="AGH59" s="68"/>
      <c r="AGI59" s="68"/>
      <c r="AGJ59" s="68"/>
      <c r="AGK59" s="68"/>
      <c r="AGL59" s="68"/>
      <c r="AGM59" s="68"/>
      <c r="AGN59" s="68"/>
      <c r="AGO59" s="68"/>
      <c r="AGP59" s="68"/>
      <c r="AGQ59" s="68"/>
      <c r="AGR59" s="68"/>
      <c r="AGS59" s="68"/>
      <c r="AGT59" s="68"/>
      <c r="AGU59" s="68"/>
      <c r="AGV59" s="68"/>
      <c r="AGW59" s="68"/>
      <c r="AGX59" s="68"/>
      <c r="AGY59" s="68"/>
      <c r="AGZ59" s="68"/>
      <c r="AHA59" s="68"/>
      <c r="AHB59" s="68"/>
      <c r="AHC59" s="68"/>
      <c r="AHD59" s="68"/>
      <c r="AHE59" s="68"/>
      <c r="AHF59" s="68"/>
      <c r="AHG59" s="68"/>
      <c r="AHH59" s="68"/>
      <c r="AHI59" s="68"/>
      <c r="AHJ59" s="68"/>
      <c r="AHK59" s="68"/>
      <c r="AHL59" s="68"/>
      <c r="AHM59" s="68"/>
      <c r="AHN59" s="68"/>
      <c r="AHO59" s="68"/>
      <c r="AHP59" s="68"/>
      <c r="AHQ59" s="68"/>
      <c r="AHR59" s="68"/>
      <c r="AHS59" s="68"/>
      <c r="AHT59" s="68"/>
      <c r="AHU59" s="68"/>
      <c r="AHV59" s="68"/>
      <c r="AHW59" s="68"/>
      <c r="AHX59" s="68"/>
      <c r="AHY59" s="68"/>
      <c r="AHZ59" s="68"/>
      <c r="AIA59" s="68"/>
      <c r="AIB59" s="68"/>
      <c r="AIC59" s="68"/>
      <c r="AID59" s="68"/>
      <c r="AIE59" s="68"/>
      <c r="AIF59" s="68"/>
      <c r="AIG59" s="68"/>
      <c r="AIH59" s="68"/>
      <c r="AII59" s="68"/>
      <c r="AIJ59" s="68"/>
      <c r="AIK59" s="68"/>
      <c r="AIL59" s="68"/>
      <c r="AIM59" s="68"/>
      <c r="AIN59" s="68"/>
      <c r="AIO59" s="68"/>
      <c r="AIP59" s="68"/>
      <c r="AIQ59" s="68"/>
      <c r="AIR59" s="68"/>
      <c r="AIS59" s="68"/>
      <c r="AIT59" s="68"/>
      <c r="AIU59" s="68"/>
      <c r="AIV59" s="68"/>
      <c r="AIW59" s="68"/>
      <c r="AIX59" s="68"/>
      <c r="AIY59" s="68"/>
      <c r="AIZ59" s="68"/>
      <c r="AJA59" s="68"/>
      <c r="AJB59" s="68"/>
      <c r="AJC59" s="68"/>
    </row>
    <row r="60" spans="1:939" s="85" customFormat="1" ht="15" customHeight="1" x14ac:dyDescent="0.25">
      <c r="A60" s="433"/>
      <c r="B60" s="434"/>
      <c r="C60" s="434"/>
      <c r="D60" s="438" t="s">
        <v>26</v>
      </c>
      <c r="E60" s="438"/>
      <c r="F60" s="438"/>
      <c r="G60" s="438"/>
      <c r="H60" s="438"/>
      <c r="I60" s="438"/>
      <c r="J60" s="438"/>
      <c r="K60" s="438"/>
      <c r="L60" s="438"/>
      <c r="M60" s="86"/>
      <c r="N60" s="87">
        <f>SUMIF($M$52:$M$57,D60,$N$52:$N$57)</f>
        <v>0</v>
      </c>
      <c r="O60" s="87">
        <f>SUM(O52:O57)</f>
        <v>22129993.32987475</v>
      </c>
      <c r="P60" s="88">
        <f>SUMIF($M$52:$M$57,D60,$P$52:$P$57)</f>
        <v>0</v>
      </c>
      <c r="Q60" s="87"/>
      <c r="R60" s="88">
        <f>SUMIF($M$52:$M$57,D60,$R$52:$R$57)</f>
        <v>0</v>
      </c>
      <c r="S60" s="88">
        <f>SUMIF($M$52:$M$57,D60,$S$52:$S$57)</f>
        <v>0</v>
      </c>
      <c r="T60" s="87">
        <f>SUMIF($M$52:$M$57,D60,$T$52:$T$57)</f>
        <v>0</v>
      </c>
      <c r="U60" s="87">
        <f>SUM(U52:U57)</f>
        <v>6234567.7223095102</v>
      </c>
      <c r="V60" s="89"/>
      <c r="W60" s="90"/>
      <c r="X60" s="47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  <c r="DD60" s="68"/>
      <c r="DE60" s="68"/>
      <c r="DF60" s="68"/>
      <c r="DG60" s="68"/>
      <c r="DH60" s="68"/>
      <c r="DI60" s="68"/>
      <c r="DJ60" s="68"/>
      <c r="DK60" s="68"/>
      <c r="DL60" s="68"/>
      <c r="DM60" s="68"/>
      <c r="DN60" s="68"/>
      <c r="DO60" s="68"/>
      <c r="DP60" s="68"/>
      <c r="DQ60" s="68"/>
      <c r="DR60" s="68"/>
      <c r="DS60" s="68"/>
      <c r="DT60" s="68"/>
      <c r="DU60" s="68"/>
      <c r="DV60" s="68"/>
      <c r="DW60" s="68"/>
      <c r="DX60" s="68"/>
      <c r="DY60" s="68"/>
      <c r="DZ60" s="68"/>
      <c r="EA60" s="68"/>
      <c r="EB60" s="68"/>
      <c r="EC60" s="68"/>
      <c r="ED60" s="68"/>
      <c r="EE60" s="68"/>
      <c r="EF60" s="68"/>
      <c r="EG60" s="68"/>
      <c r="EH60" s="68"/>
      <c r="EI60" s="68"/>
      <c r="EJ60" s="68"/>
      <c r="EK60" s="68"/>
      <c r="EL60" s="68"/>
      <c r="EM60" s="68"/>
      <c r="EN60" s="68"/>
      <c r="EO60" s="68"/>
      <c r="EP60" s="68"/>
      <c r="EQ60" s="68"/>
      <c r="ER60" s="68"/>
      <c r="ES60" s="68"/>
      <c r="ET60" s="68"/>
      <c r="EU60" s="68"/>
      <c r="EV60" s="68"/>
      <c r="EW60" s="68"/>
      <c r="EX60" s="68"/>
      <c r="EY60" s="68"/>
      <c r="EZ60" s="68"/>
      <c r="FA60" s="68"/>
      <c r="FB60" s="68"/>
      <c r="FC60" s="68"/>
      <c r="FD60" s="68"/>
      <c r="FE60" s="68"/>
      <c r="FF60" s="68"/>
      <c r="FG60" s="68"/>
      <c r="FH60" s="68"/>
      <c r="FI60" s="68"/>
      <c r="FJ60" s="68"/>
      <c r="FK60" s="68"/>
      <c r="FL60" s="68"/>
      <c r="FM60" s="68"/>
      <c r="FN60" s="68"/>
      <c r="FO60" s="68"/>
      <c r="FP60" s="68"/>
      <c r="FQ60" s="68"/>
      <c r="FR60" s="68"/>
      <c r="FS60" s="68"/>
      <c r="FT60" s="68"/>
      <c r="FU60" s="68"/>
      <c r="FV60" s="68"/>
      <c r="FW60" s="68"/>
      <c r="FX60" s="68"/>
      <c r="FY60" s="68"/>
      <c r="FZ60" s="68"/>
      <c r="GA60" s="68"/>
      <c r="GB60" s="68"/>
      <c r="GC60" s="68"/>
      <c r="GD60" s="68"/>
      <c r="GE60" s="68"/>
      <c r="GF60" s="68"/>
      <c r="GG60" s="68"/>
      <c r="GH60" s="68"/>
      <c r="GI60" s="68"/>
      <c r="GJ60" s="68"/>
      <c r="GK60" s="68"/>
      <c r="GL60" s="68"/>
      <c r="GM60" s="68"/>
      <c r="GN60" s="68"/>
      <c r="GO60" s="68"/>
      <c r="GP60" s="68"/>
      <c r="GQ60" s="68"/>
      <c r="GR60" s="68"/>
      <c r="GS60" s="68"/>
      <c r="GT60" s="68"/>
      <c r="GU60" s="68"/>
      <c r="GV60" s="68"/>
      <c r="GW60" s="68"/>
      <c r="GX60" s="68"/>
      <c r="GY60" s="68"/>
      <c r="GZ60" s="68"/>
      <c r="HA60" s="68"/>
      <c r="HB60" s="68"/>
      <c r="HC60" s="68"/>
      <c r="HD60" s="68"/>
      <c r="HE60" s="68"/>
      <c r="HF60" s="68"/>
      <c r="HG60" s="68"/>
      <c r="HH60" s="68"/>
      <c r="HI60" s="68"/>
      <c r="HJ60" s="68"/>
      <c r="HK60" s="68"/>
      <c r="HL60" s="68"/>
      <c r="HM60" s="68"/>
      <c r="HN60" s="68"/>
      <c r="HO60" s="68"/>
      <c r="HP60" s="68"/>
      <c r="HQ60" s="68"/>
      <c r="HR60" s="68"/>
      <c r="HS60" s="68"/>
      <c r="HT60" s="68"/>
      <c r="HU60" s="68"/>
      <c r="HV60" s="68"/>
      <c r="HW60" s="68"/>
      <c r="HX60" s="68"/>
      <c r="HY60" s="68"/>
      <c r="HZ60" s="68"/>
      <c r="IA60" s="68"/>
      <c r="IB60" s="68"/>
      <c r="IC60" s="68"/>
      <c r="ID60" s="68"/>
      <c r="IE60" s="68"/>
      <c r="IF60" s="68"/>
      <c r="IG60" s="68"/>
      <c r="IH60" s="68"/>
      <c r="II60" s="68"/>
      <c r="IJ60" s="68"/>
      <c r="IK60" s="68"/>
      <c r="IL60" s="68"/>
      <c r="IM60" s="68"/>
      <c r="IN60" s="68"/>
      <c r="IO60" s="68"/>
      <c r="IP60" s="68"/>
      <c r="IQ60" s="68"/>
      <c r="IR60" s="68"/>
      <c r="IS60" s="68"/>
      <c r="IT60" s="68"/>
      <c r="IU60" s="68"/>
      <c r="IV60" s="68"/>
      <c r="IW60" s="68"/>
      <c r="IX60" s="68"/>
      <c r="IY60" s="68"/>
      <c r="IZ60" s="68"/>
      <c r="JA60" s="68"/>
      <c r="JB60" s="68"/>
      <c r="JC60" s="68"/>
      <c r="JD60" s="68"/>
      <c r="JE60" s="68"/>
      <c r="JF60" s="68"/>
      <c r="JG60" s="68"/>
      <c r="JH60" s="68"/>
      <c r="JI60" s="68"/>
      <c r="JJ60" s="68"/>
      <c r="JK60" s="68"/>
      <c r="JL60" s="68"/>
      <c r="JM60" s="68"/>
      <c r="JN60" s="68"/>
      <c r="JO60" s="68"/>
      <c r="JP60" s="68"/>
      <c r="JQ60" s="68"/>
      <c r="JR60" s="68"/>
      <c r="JS60" s="68"/>
      <c r="JT60" s="68"/>
      <c r="JU60" s="68"/>
      <c r="JV60" s="68"/>
      <c r="JW60" s="68"/>
      <c r="JX60" s="68"/>
      <c r="JY60" s="68"/>
      <c r="JZ60" s="68"/>
      <c r="KA60" s="68"/>
      <c r="KB60" s="68"/>
      <c r="KC60" s="68"/>
      <c r="KD60" s="68"/>
      <c r="KE60" s="68"/>
      <c r="KF60" s="68"/>
      <c r="KG60" s="68"/>
      <c r="KH60" s="68"/>
      <c r="KI60" s="68"/>
      <c r="KJ60" s="68"/>
      <c r="KK60" s="68"/>
      <c r="KL60" s="68"/>
      <c r="KM60" s="68"/>
      <c r="KN60" s="68"/>
      <c r="KO60" s="68"/>
      <c r="KP60" s="68"/>
      <c r="KQ60" s="68"/>
      <c r="KR60" s="68"/>
      <c r="KS60" s="68"/>
      <c r="KT60" s="68"/>
      <c r="KU60" s="68"/>
      <c r="KV60" s="68"/>
      <c r="KW60" s="68"/>
      <c r="KX60" s="68"/>
      <c r="KY60" s="68"/>
      <c r="KZ60" s="68"/>
      <c r="LA60" s="68"/>
      <c r="LB60" s="68"/>
      <c r="LC60" s="68"/>
      <c r="LD60" s="68"/>
      <c r="LE60" s="68"/>
      <c r="LF60" s="68"/>
      <c r="LG60" s="68"/>
      <c r="LH60" s="68"/>
      <c r="LI60" s="68"/>
      <c r="LJ60" s="68"/>
      <c r="LK60" s="68"/>
      <c r="LL60" s="68"/>
      <c r="LM60" s="68"/>
      <c r="LN60" s="68"/>
      <c r="LO60" s="68"/>
      <c r="LP60" s="68"/>
      <c r="LQ60" s="68"/>
      <c r="LR60" s="68"/>
      <c r="LS60" s="68"/>
      <c r="LT60" s="68"/>
      <c r="LU60" s="68"/>
      <c r="LV60" s="68"/>
      <c r="LW60" s="68"/>
      <c r="LX60" s="68"/>
      <c r="LY60" s="68"/>
      <c r="LZ60" s="68"/>
      <c r="MA60" s="68"/>
      <c r="MB60" s="68"/>
      <c r="MC60" s="68"/>
      <c r="MD60" s="68"/>
      <c r="ME60" s="68"/>
      <c r="MF60" s="68"/>
      <c r="MG60" s="68"/>
      <c r="MH60" s="68"/>
      <c r="MI60" s="68"/>
      <c r="MJ60" s="68"/>
      <c r="MK60" s="68"/>
      <c r="ML60" s="68"/>
      <c r="MM60" s="68"/>
      <c r="MN60" s="68"/>
      <c r="MO60" s="68"/>
      <c r="MP60" s="68"/>
      <c r="MQ60" s="68"/>
      <c r="MR60" s="68"/>
      <c r="MS60" s="68"/>
      <c r="MT60" s="68"/>
      <c r="MU60" s="68"/>
      <c r="MV60" s="68"/>
      <c r="MW60" s="68"/>
      <c r="MX60" s="68"/>
      <c r="MY60" s="68"/>
      <c r="MZ60" s="68"/>
      <c r="NA60" s="68"/>
      <c r="NB60" s="68"/>
      <c r="NC60" s="68"/>
      <c r="ND60" s="68"/>
      <c r="NE60" s="68"/>
      <c r="NF60" s="68"/>
      <c r="NG60" s="68"/>
      <c r="NH60" s="68"/>
      <c r="NI60" s="68"/>
      <c r="NJ60" s="68"/>
      <c r="NK60" s="68"/>
      <c r="NL60" s="68"/>
      <c r="NM60" s="68"/>
      <c r="NN60" s="68"/>
      <c r="NO60" s="68"/>
      <c r="NP60" s="68"/>
      <c r="NQ60" s="68"/>
      <c r="NR60" s="68"/>
      <c r="NS60" s="68"/>
      <c r="NT60" s="68"/>
      <c r="NU60" s="68"/>
      <c r="NV60" s="68"/>
      <c r="NW60" s="68"/>
      <c r="NX60" s="68"/>
      <c r="NY60" s="68"/>
      <c r="NZ60" s="68"/>
      <c r="OA60" s="68"/>
      <c r="OB60" s="68"/>
      <c r="OC60" s="68"/>
      <c r="OD60" s="68"/>
      <c r="OE60" s="68"/>
      <c r="OF60" s="68"/>
      <c r="OG60" s="68"/>
      <c r="OH60" s="68"/>
      <c r="OI60" s="68"/>
      <c r="OJ60" s="68"/>
      <c r="OK60" s="68"/>
      <c r="OL60" s="68"/>
      <c r="OM60" s="68"/>
      <c r="ON60" s="68"/>
      <c r="OO60" s="68"/>
      <c r="OP60" s="68"/>
      <c r="OQ60" s="68"/>
      <c r="OR60" s="68"/>
      <c r="OS60" s="68"/>
      <c r="OT60" s="68"/>
      <c r="OU60" s="68"/>
      <c r="OV60" s="68"/>
      <c r="OW60" s="68"/>
      <c r="OX60" s="68"/>
      <c r="OY60" s="68"/>
      <c r="OZ60" s="68"/>
      <c r="PA60" s="68"/>
      <c r="PB60" s="68"/>
      <c r="PC60" s="68"/>
      <c r="PD60" s="68"/>
      <c r="PE60" s="68"/>
      <c r="PF60" s="68"/>
      <c r="PG60" s="68"/>
      <c r="PH60" s="68"/>
      <c r="PI60" s="68"/>
      <c r="PJ60" s="68"/>
      <c r="PK60" s="68"/>
      <c r="PL60" s="68"/>
      <c r="PM60" s="68"/>
      <c r="PN60" s="68"/>
      <c r="PO60" s="68"/>
      <c r="PP60" s="68"/>
      <c r="PQ60" s="68"/>
      <c r="PR60" s="68"/>
      <c r="PS60" s="68"/>
      <c r="PT60" s="68"/>
      <c r="PU60" s="68"/>
      <c r="PV60" s="68"/>
      <c r="PW60" s="68"/>
      <c r="PX60" s="68"/>
      <c r="PY60" s="68"/>
      <c r="PZ60" s="68"/>
      <c r="QA60" s="68"/>
      <c r="QB60" s="68"/>
      <c r="QC60" s="68"/>
      <c r="QD60" s="68"/>
      <c r="QE60" s="68"/>
      <c r="QF60" s="68"/>
      <c r="QG60" s="68"/>
      <c r="QH60" s="68"/>
      <c r="QI60" s="68"/>
      <c r="QJ60" s="68"/>
      <c r="QK60" s="68"/>
      <c r="QL60" s="68"/>
      <c r="QM60" s="68"/>
      <c r="QN60" s="68"/>
      <c r="QO60" s="68"/>
      <c r="QP60" s="68"/>
      <c r="QQ60" s="68"/>
      <c r="QR60" s="68"/>
      <c r="QS60" s="68"/>
      <c r="QT60" s="68"/>
      <c r="QU60" s="68"/>
      <c r="QV60" s="68"/>
      <c r="QW60" s="68"/>
      <c r="QX60" s="68"/>
      <c r="QY60" s="68"/>
      <c r="QZ60" s="68"/>
      <c r="RA60" s="68"/>
      <c r="RB60" s="68"/>
      <c r="RC60" s="68"/>
      <c r="RD60" s="68"/>
      <c r="RE60" s="68"/>
      <c r="RF60" s="68"/>
      <c r="RG60" s="68"/>
      <c r="RH60" s="68"/>
      <c r="RI60" s="68"/>
      <c r="RJ60" s="68"/>
      <c r="RK60" s="68"/>
      <c r="RL60" s="68"/>
      <c r="RM60" s="68"/>
      <c r="RN60" s="68"/>
      <c r="RO60" s="68"/>
      <c r="RP60" s="68"/>
      <c r="RQ60" s="68"/>
      <c r="RR60" s="68"/>
      <c r="RS60" s="68"/>
      <c r="RT60" s="68"/>
      <c r="RU60" s="68"/>
      <c r="RV60" s="68"/>
      <c r="RW60" s="68"/>
      <c r="RX60" s="68"/>
      <c r="RY60" s="68"/>
      <c r="RZ60" s="68"/>
      <c r="SA60" s="68"/>
      <c r="SB60" s="68"/>
      <c r="SC60" s="68"/>
      <c r="SD60" s="68"/>
      <c r="SE60" s="68"/>
      <c r="SF60" s="68"/>
      <c r="SG60" s="68"/>
      <c r="SH60" s="68"/>
      <c r="SI60" s="68"/>
      <c r="SJ60" s="68"/>
      <c r="SK60" s="68"/>
      <c r="SL60" s="68"/>
      <c r="SM60" s="68"/>
      <c r="SN60" s="68"/>
      <c r="SO60" s="68"/>
      <c r="SP60" s="68"/>
      <c r="SQ60" s="68"/>
      <c r="SR60" s="68"/>
      <c r="SS60" s="68"/>
      <c r="ST60" s="68"/>
      <c r="SU60" s="68"/>
      <c r="SV60" s="68"/>
      <c r="SW60" s="68"/>
      <c r="SX60" s="68"/>
      <c r="SY60" s="68"/>
      <c r="SZ60" s="68"/>
      <c r="TA60" s="68"/>
      <c r="TB60" s="68"/>
      <c r="TC60" s="68"/>
      <c r="TD60" s="68"/>
      <c r="TE60" s="68"/>
      <c r="TF60" s="68"/>
      <c r="TG60" s="68"/>
      <c r="TH60" s="68"/>
      <c r="TI60" s="68"/>
      <c r="TJ60" s="68"/>
      <c r="TK60" s="68"/>
      <c r="TL60" s="68"/>
      <c r="TM60" s="68"/>
      <c r="TN60" s="68"/>
      <c r="TO60" s="68"/>
      <c r="TP60" s="68"/>
      <c r="TQ60" s="68"/>
      <c r="TR60" s="68"/>
      <c r="TS60" s="68"/>
      <c r="TT60" s="68"/>
      <c r="TU60" s="68"/>
      <c r="TV60" s="68"/>
      <c r="TW60" s="68"/>
      <c r="TX60" s="68"/>
      <c r="TY60" s="68"/>
      <c r="TZ60" s="68"/>
      <c r="UA60" s="68"/>
      <c r="UB60" s="68"/>
      <c r="UC60" s="68"/>
      <c r="UD60" s="68"/>
      <c r="UE60" s="68"/>
      <c r="UF60" s="68"/>
      <c r="UG60" s="68"/>
      <c r="UH60" s="68"/>
      <c r="UI60" s="68"/>
      <c r="UJ60" s="68"/>
      <c r="UK60" s="68"/>
      <c r="UL60" s="68"/>
      <c r="UM60" s="68"/>
      <c r="UN60" s="68"/>
      <c r="UO60" s="68"/>
      <c r="UP60" s="68"/>
      <c r="UQ60" s="68"/>
      <c r="UR60" s="68"/>
      <c r="US60" s="68"/>
      <c r="UT60" s="68"/>
      <c r="UU60" s="68"/>
      <c r="UV60" s="68"/>
      <c r="UW60" s="68"/>
      <c r="UX60" s="68"/>
      <c r="UY60" s="68"/>
      <c r="UZ60" s="68"/>
      <c r="VA60" s="68"/>
      <c r="VB60" s="68"/>
      <c r="VC60" s="68"/>
      <c r="VD60" s="68"/>
      <c r="VE60" s="68"/>
      <c r="VF60" s="68"/>
      <c r="VG60" s="68"/>
      <c r="VH60" s="68"/>
      <c r="VI60" s="68"/>
      <c r="VJ60" s="68"/>
      <c r="VK60" s="68"/>
      <c r="VL60" s="68"/>
      <c r="VM60" s="68"/>
      <c r="VN60" s="68"/>
      <c r="VO60" s="68"/>
      <c r="VP60" s="68"/>
      <c r="VQ60" s="68"/>
      <c r="VR60" s="68"/>
      <c r="VS60" s="68"/>
      <c r="VT60" s="68"/>
      <c r="VU60" s="68"/>
      <c r="VV60" s="68"/>
      <c r="VW60" s="68"/>
      <c r="VX60" s="68"/>
      <c r="VY60" s="68"/>
      <c r="VZ60" s="68"/>
      <c r="WA60" s="68"/>
      <c r="WB60" s="68"/>
      <c r="WC60" s="68"/>
      <c r="WD60" s="68"/>
      <c r="WE60" s="68"/>
      <c r="WF60" s="68"/>
      <c r="WG60" s="68"/>
      <c r="WH60" s="68"/>
      <c r="WI60" s="68"/>
      <c r="WJ60" s="68"/>
      <c r="WK60" s="68"/>
      <c r="WL60" s="68"/>
      <c r="WM60" s="68"/>
      <c r="WN60" s="68"/>
      <c r="WO60" s="68"/>
      <c r="WP60" s="68"/>
      <c r="WQ60" s="68"/>
      <c r="WR60" s="68"/>
      <c r="WS60" s="68"/>
      <c r="WT60" s="68"/>
      <c r="WU60" s="68"/>
      <c r="WV60" s="68"/>
      <c r="WW60" s="68"/>
      <c r="WX60" s="68"/>
      <c r="WY60" s="68"/>
      <c r="WZ60" s="68"/>
      <c r="XA60" s="68"/>
      <c r="XB60" s="68"/>
      <c r="XC60" s="68"/>
      <c r="XD60" s="68"/>
      <c r="XE60" s="68"/>
      <c r="XF60" s="68"/>
      <c r="XG60" s="68"/>
      <c r="XH60" s="68"/>
      <c r="XI60" s="68"/>
      <c r="XJ60" s="68"/>
      <c r="XK60" s="68"/>
      <c r="XL60" s="68"/>
      <c r="XM60" s="68"/>
      <c r="XN60" s="68"/>
      <c r="XO60" s="68"/>
      <c r="XP60" s="68"/>
      <c r="XQ60" s="68"/>
      <c r="XR60" s="68"/>
      <c r="XS60" s="68"/>
      <c r="XT60" s="68"/>
      <c r="XU60" s="68"/>
      <c r="XV60" s="68"/>
      <c r="XW60" s="68"/>
      <c r="XX60" s="68"/>
      <c r="XY60" s="68"/>
      <c r="XZ60" s="68"/>
      <c r="YA60" s="68"/>
      <c r="YB60" s="68"/>
      <c r="YC60" s="68"/>
      <c r="YD60" s="68"/>
      <c r="YE60" s="68"/>
      <c r="YF60" s="68"/>
      <c r="YG60" s="68"/>
      <c r="YH60" s="68"/>
      <c r="YI60" s="68"/>
      <c r="YJ60" s="68"/>
      <c r="YK60" s="68"/>
      <c r="YL60" s="68"/>
      <c r="YM60" s="68"/>
      <c r="YN60" s="68"/>
      <c r="YO60" s="68"/>
      <c r="YP60" s="68"/>
      <c r="YQ60" s="68"/>
      <c r="YR60" s="68"/>
      <c r="YS60" s="68"/>
      <c r="YT60" s="68"/>
      <c r="YU60" s="68"/>
      <c r="YV60" s="68"/>
      <c r="YW60" s="68"/>
      <c r="YX60" s="68"/>
      <c r="YY60" s="68"/>
      <c r="YZ60" s="68"/>
      <c r="ZA60" s="68"/>
      <c r="ZB60" s="68"/>
      <c r="ZC60" s="68"/>
      <c r="ZD60" s="68"/>
      <c r="ZE60" s="68"/>
      <c r="ZF60" s="68"/>
      <c r="ZG60" s="68"/>
      <c r="ZH60" s="68"/>
      <c r="ZI60" s="68"/>
      <c r="ZJ60" s="68"/>
      <c r="ZK60" s="68"/>
      <c r="ZL60" s="68"/>
      <c r="ZM60" s="68"/>
      <c r="ZN60" s="68"/>
      <c r="ZO60" s="68"/>
      <c r="ZP60" s="68"/>
      <c r="ZQ60" s="68"/>
      <c r="ZR60" s="68"/>
      <c r="ZS60" s="68"/>
      <c r="ZT60" s="68"/>
      <c r="ZU60" s="68"/>
      <c r="ZV60" s="68"/>
      <c r="ZW60" s="68"/>
      <c r="ZX60" s="68"/>
      <c r="ZY60" s="68"/>
      <c r="ZZ60" s="68"/>
      <c r="AAA60" s="68"/>
      <c r="AAB60" s="68"/>
      <c r="AAC60" s="68"/>
      <c r="AAD60" s="68"/>
      <c r="AAE60" s="68"/>
      <c r="AAF60" s="68"/>
      <c r="AAG60" s="68"/>
      <c r="AAH60" s="68"/>
      <c r="AAI60" s="68"/>
      <c r="AAJ60" s="68"/>
      <c r="AAK60" s="68"/>
      <c r="AAL60" s="68"/>
      <c r="AAM60" s="68"/>
      <c r="AAN60" s="68"/>
      <c r="AAO60" s="68"/>
      <c r="AAP60" s="68"/>
      <c r="AAQ60" s="68"/>
      <c r="AAR60" s="68"/>
      <c r="AAS60" s="68"/>
      <c r="AAT60" s="68"/>
      <c r="AAU60" s="68"/>
      <c r="AAV60" s="68"/>
      <c r="AAW60" s="68"/>
      <c r="AAX60" s="68"/>
      <c r="AAY60" s="68"/>
      <c r="AAZ60" s="68"/>
      <c r="ABA60" s="68"/>
      <c r="ABB60" s="68"/>
      <c r="ABC60" s="68"/>
      <c r="ABD60" s="68"/>
      <c r="ABE60" s="68"/>
      <c r="ABF60" s="68"/>
      <c r="ABG60" s="68"/>
      <c r="ABH60" s="68"/>
      <c r="ABI60" s="68"/>
      <c r="ABJ60" s="68"/>
      <c r="ABK60" s="68"/>
      <c r="ABL60" s="68"/>
      <c r="ABM60" s="68"/>
      <c r="ABN60" s="68"/>
      <c r="ABO60" s="68"/>
      <c r="ABP60" s="68"/>
      <c r="ABQ60" s="68"/>
      <c r="ABR60" s="68"/>
      <c r="ABS60" s="68"/>
      <c r="ABT60" s="68"/>
      <c r="ABU60" s="68"/>
      <c r="ABV60" s="68"/>
      <c r="ABW60" s="68"/>
      <c r="ABX60" s="68"/>
      <c r="ABY60" s="68"/>
      <c r="ABZ60" s="68"/>
      <c r="ACA60" s="68"/>
      <c r="ACB60" s="68"/>
      <c r="ACC60" s="68"/>
      <c r="ACD60" s="68"/>
      <c r="ACE60" s="68"/>
      <c r="ACF60" s="68"/>
      <c r="ACG60" s="68"/>
      <c r="ACH60" s="68"/>
      <c r="ACI60" s="68"/>
      <c r="ACJ60" s="68"/>
      <c r="ACK60" s="68"/>
      <c r="ACL60" s="68"/>
      <c r="ACM60" s="68"/>
      <c r="ACN60" s="68"/>
      <c r="ACO60" s="68"/>
      <c r="ACP60" s="68"/>
      <c r="ACQ60" s="68"/>
      <c r="ACR60" s="68"/>
      <c r="ACS60" s="68"/>
      <c r="ACT60" s="68"/>
      <c r="ACU60" s="68"/>
      <c r="ACV60" s="68"/>
      <c r="ACW60" s="68"/>
      <c r="ACX60" s="68"/>
      <c r="ACY60" s="68"/>
      <c r="ACZ60" s="68"/>
      <c r="ADA60" s="68"/>
      <c r="ADB60" s="68"/>
      <c r="ADC60" s="68"/>
      <c r="ADD60" s="68"/>
      <c r="ADE60" s="68"/>
      <c r="ADF60" s="68"/>
      <c r="ADG60" s="68"/>
      <c r="ADH60" s="68"/>
      <c r="ADI60" s="68"/>
      <c r="ADJ60" s="68"/>
      <c r="ADK60" s="68"/>
      <c r="ADL60" s="68"/>
      <c r="ADM60" s="68"/>
      <c r="ADN60" s="68"/>
      <c r="ADO60" s="68"/>
      <c r="ADP60" s="68"/>
      <c r="ADQ60" s="68"/>
      <c r="ADR60" s="68"/>
      <c r="ADS60" s="68"/>
      <c r="ADT60" s="68"/>
      <c r="ADU60" s="68"/>
      <c r="ADV60" s="68"/>
      <c r="ADW60" s="68"/>
      <c r="ADX60" s="68"/>
      <c r="ADY60" s="68"/>
      <c r="ADZ60" s="68"/>
      <c r="AEA60" s="68"/>
      <c r="AEB60" s="68"/>
      <c r="AEC60" s="68"/>
      <c r="AED60" s="68"/>
      <c r="AEE60" s="68"/>
      <c r="AEF60" s="68"/>
      <c r="AEG60" s="68"/>
      <c r="AEH60" s="68"/>
      <c r="AEI60" s="68"/>
      <c r="AEJ60" s="68"/>
      <c r="AEK60" s="68"/>
      <c r="AEL60" s="68"/>
      <c r="AEM60" s="68"/>
      <c r="AEN60" s="68"/>
      <c r="AEO60" s="68"/>
      <c r="AEP60" s="68"/>
      <c r="AEQ60" s="68"/>
      <c r="AER60" s="68"/>
      <c r="AES60" s="68"/>
      <c r="AET60" s="68"/>
      <c r="AEU60" s="68"/>
      <c r="AEV60" s="68"/>
      <c r="AEW60" s="68"/>
      <c r="AEX60" s="68"/>
      <c r="AEY60" s="68"/>
      <c r="AEZ60" s="68"/>
      <c r="AFA60" s="68"/>
      <c r="AFB60" s="68"/>
      <c r="AFC60" s="68"/>
      <c r="AFD60" s="68"/>
      <c r="AFE60" s="68"/>
      <c r="AFF60" s="68"/>
      <c r="AFG60" s="68"/>
      <c r="AFH60" s="68"/>
      <c r="AFI60" s="68"/>
      <c r="AFJ60" s="68"/>
      <c r="AFK60" s="68"/>
      <c r="AFL60" s="68"/>
      <c r="AFM60" s="68"/>
      <c r="AFN60" s="68"/>
      <c r="AFO60" s="68"/>
      <c r="AFP60" s="68"/>
      <c r="AFQ60" s="68"/>
      <c r="AFR60" s="68"/>
      <c r="AFS60" s="68"/>
      <c r="AFT60" s="68"/>
      <c r="AFU60" s="68"/>
      <c r="AFV60" s="68"/>
      <c r="AFW60" s="68"/>
      <c r="AFX60" s="68"/>
      <c r="AFY60" s="68"/>
      <c r="AFZ60" s="68"/>
      <c r="AGA60" s="68"/>
      <c r="AGB60" s="68"/>
      <c r="AGC60" s="68"/>
      <c r="AGD60" s="68"/>
      <c r="AGE60" s="68"/>
      <c r="AGF60" s="68"/>
      <c r="AGG60" s="68"/>
      <c r="AGH60" s="68"/>
      <c r="AGI60" s="68"/>
      <c r="AGJ60" s="68"/>
      <c r="AGK60" s="68"/>
      <c r="AGL60" s="68"/>
      <c r="AGM60" s="68"/>
      <c r="AGN60" s="68"/>
      <c r="AGO60" s="68"/>
      <c r="AGP60" s="68"/>
      <c r="AGQ60" s="68"/>
      <c r="AGR60" s="68"/>
      <c r="AGS60" s="68"/>
      <c r="AGT60" s="68"/>
      <c r="AGU60" s="68"/>
      <c r="AGV60" s="68"/>
      <c r="AGW60" s="68"/>
      <c r="AGX60" s="68"/>
      <c r="AGY60" s="68"/>
      <c r="AGZ60" s="68"/>
      <c r="AHA60" s="68"/>
      <c r="AHB60" s="68"/>
      <c r="AHC60" s="68"/>
      <c r="AHD60" s="68"/>
      <c r="AHE60" s="68"/>
      <c r="AHF60" s="68"/>
      <c r="AHG60" s="68"/>
      <c r="AHH60" s="68"/>
      <c r="AHI60" s="68"/>
      <c r="AHJ60" s="68"/>
      <c r="AHK60" s="68"/>
      <c r="AHL60" s="68"/>
      <c r="AHM60" s="68"/>
      <c r="AHN60" s="68"/>
      <c r="AHO60" s="68"/>
      <c r="AHP60" s="68"/>
      <c r="AHQ60" s="68"/>
      <c r="AHR60" s="68"/>
      <c r="AHS60" s="68"/>
      <c r="AHT60" s="68"/>
      <c r="AHU60" s="68"/>
      <c r="AHV60" s="68"/>
      <c r="AHW60" s="68"/>
      <c r="AHX60" s="68"/>
      <c r="AHY60" s="68"/>
      <c r="AHZ60" s="68"/>
      <c r="AIA60" s="68"/>
      <c r="AIB60" s="68"/>
      <c r="AIC60" s="68"/>
      <c r="AID60" s="68"/>
      <c r="AIE60" s="68"/>
      <c r="AIF60" s="68"/>
      <c r="AIG60" s="68"/>
      <c r="AIH60" s="68"/>
      <c r="AII60" s="68"/>
      <c r="AIJ60" s="68"/>
      <c r="AIK60" s="68"/>
      <c r="AIL60" s="68"/>
      <c r="AIM60" s="68"/>
      <c r="AIN60" s="68"/>
      <c r="AIO60" s="68"/>
      <c r="AIP60" s="68"/>
      <c r="AIQ60" s="68"/>
      <c r="AIR60" s="68"/>
      <c r="AIS60" s="68"/>
      <c r="AIT60" s="68"/>
      <c r="AIU60" s="68"/>
      <c r="AIV60" s="68"/>
      <c r="AIW60" s="68"/>
      <c r="AIX60" s="68"/>
      <c r="AIY60" s="68"/>
      <c r="AIZ60" s="68"/>
      <c r="AJA60" s="68"/>
      <c r="AJB60" s="68"/>
      <c r="AJC60" s="68"/>
    </row>
    <row r="61" spans="1:939" s="85" customFormat="1" ht="15" customHeight="1" thickBot="1" x14ac:dyDescent="0.3">
      <c r="A61" s="435"/>
      <c r="B61" s="436"/>
      <c r="C61" s="436"/>
      <c r="D61" s="439" t="s">
        <v>18</v>
      </c>
      <c r="E61" s="439"/>
      <c r="F61" s="439"/>
      <c r="G61" s="439"/>
      <c r="H61" s="439"/>
      <c r="I61" s="439"/>
      <c r="J61" s="439"/>
      <c r="K61" s="439"/>
      <c r="L61" s="439"/>
      <c r="M61" s="91"/>
      <c r="N61" s="92">
        <f>SUMIF($M$52:$M$57,D61,$N$52:$N$57)</f>
        <v>0</v>
      </c>
      <c r="O61" s="92"/>
      <c r="P61" s="93">
        <f>SUMIF($M$52:$M$57,D61,$P$52:$P$57)</f>
        <v>0</v>
      </c>
      <c r="Q61" s="92"/>
      <c r="R61" s="93">
        <f>SUMIF($M$52:$M$57,D61,$R$52:$R$57)</f>
        <v>0</v>
      </c>
      <c r="S61" s="93">
        <f>SUMIF($M$52:$M$57,D61,$S$52:$S$57)</f>
        <v>0</v>
      </c>
      <c r="T61" s="92">
        <f>SUMIF($M$52:$M$57,D61,$T$52:$T$57)</f>
        <v>0</v>
      </c>
      <c r="U61" s="92"/>
      <c r="V61" s="94"/>
      <c r="W61" s="95"/>
      <c r="X61" s="47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  <c r="DD61" s="68"/>
      <c r="DE61" s="68"/>
      <c r="DF61" s="68"/>
      <c r="DG61" s="68"/>
      <c r="DH61" s="68"/>
      <c r="DI61" s="68"/>
      <c r="DJ61" s="68"/>
      <c r="DK61" s="68"/>
      <c r="DL61" s="68"/>
      <c r="DM61" s="68"/>
      <c r="DN61" s="68"/>
      <c r="DO61" s="68"/>
      <c r="DP61" s="68"/>
      <c r="DQ61" s="68"/>
      <c r="DR61" s="68"/>
      <c r="DS61" s="68"/>
      <c r="DT61" s="68"/>
      <c r="DU61" s="68"/>
      <c r="DV61" s="68"/>
      <c r="DW61" s="68"/>
      <c r="DX61" s="68"/>
      <c r="DY61" s="68"/>
      <c r="DZ61" s="68"/>
      <c r="EA61" s="68"/>
      <c r="EB61" s="68"/>
      <c r="EC61" s="68"/>
      <c r="ED61" s="68"/>
      <c r="EE61" s="68"/>
      <c r="EF61" s="68"/>
      <c r="EG61" s="68"/>
      <c r="EH61" s="68"/>
      <c r="EI61" s="68"/>
      <c r="EJ61" s="68"/>
      <c r="EK61" s="68"/>
      <c r="EL61" s="68"/>
      <c r="EM61" s="68"/>
      <c r="EN61" s="68"/>
      <c r="EO61" s="68"/>
      <c r="EP61" s="68"/>
      <c r="EQ61" s="68"/>
      <c r="ER61" s="68"/>
      <c r="ES61" s="68"/>
      <c r="ET61" s="68"/>
      <c r="EU61" s="68"/>
      <c r="EV61" s="68"/>
      <c r="EW61" s="68"/>
      <c r="EX61" s="68"/>
      <c r="EY61" s="68"/>
      <c r="EZ61" s="68"/>
      <c r="FA61" s="68"/>
      <c r="FB61" s="68"/>
      <c r="FC61" s="68"/>
      <c r="FD61" s="68"/>
      <c r="FE61" s="68"/>
      <c r="FF61" s="68"/>
      <c r="FG61" s="68"/>
      <c r="FH61" s="68"/>
      <c r="FI61" s="68"/>
      <c r="FJ61" s="68"/>
      <c r="FK61" s="68"/>
      <c r="FL61" s="68"/>
      <c r="FM61" s="68"/>
      <c r="FN61" s="68"/>
      <c r="FO61" s="68"/>
      <c r="FP61" s="68"/>
      <c r="FQ61" s="68"/>
      <c r="FR61" s="68"/>
      <c r="FS61" s="68"/>
      <c r="FT61" s="68"/>
      <c r="FU61" s="68"/>
      <c r="FV61" s="68"/>
      <c r="FW61" s="68"/>
      <c r="FX61" s="68"/>
      <c r="FY61" s="68"/>
      <c r="FZ61" s="68"/>
      <c r="GA61" s="68"/>
      <c r="GB61" s="68"/>
      <c r="GC61" s="68"/>
      <c r="GD61" s="68"/>
      <c r="GE61" s="68"/>
      <c r="GF61" s="68"/>
      <c r="GG61" s="68"/>
      <c r="GH61" s="68"/>
      <c r="GI61" s="68"/>
      <c r="GJ61" s="68"/>
      <c r="GK61" s="68"/>
      <c r="GL61" s="68"/>
      <c r="GM61" s="68"/>
      <c r="GN61" s="68"/>
      <c r="GO61" s="68"/>
      <c r="GP61" s="68"/>
      <c r="GQ61" s="68"/>
      <c r="GR61" s="68"/>
      <c r="GS61" s="68"/>
      <c r="GT61" s="68"/>
      <c r="GU61" s="68"/>
      <c r="GV61" s="68"/>
      <c r="GW61" s="68"/>
      <c r="GX61" s="68"/>
      <c r="GY61" s="68"/>
      <c r="GZ61" s="68"/>
      <c r="HA61" s="68"/>
      <c r="HB61" s="68"/>
      <c r="HC61" s="68"/>
      <c r="HD61" s="68"/>
      <c r="HE61" s="68"/>
      <c r="HF61" s="68"/>
      <c r="HG61" s="68"/>
      <c r="HH61" s="68"/>
      <c r="HI61" s="68"/>
      <c r="HJ61" s="68"/>
      <c r="HK61" s="68"/>
      <c r="HL61" s="68"/>
      <c r="HM61" s="68"/>
      <c r="HN61" s="68"/>
      <c r="HO61" s="68"/>
      <c r="HP61" s="68"/>
      <c r="HQ61" s="68"/>
      <c r="HR61" s="68"/>
      <c r="HS61" s="68"/>
      <c r="HT61" s="68"/>
      <c r="HU61" s="68"/>
      <c r="HV61" s="68"/>
      <c r="HW61" s="68"/>
      <c r="HX61" s="68"/>
      <c r="HY61" s="68"/>
      <c r="HZ61" s="68"/>
      <c r="IA61" s="68"/>
      <c r="IB61" s="68"/>
      <c r="IC61" s="68"/>
      <c r="ID61" s="68"/>
      <c r="IE61" s="68"/>
      <c r="IF61" s="68"/>
      <c r="IG61" s="68"/>
      <c r="IH61" s="68"/>
      <c r="II61" s="68"/>
      <c r="IJ61" s="68"/>
      <c r="IK61" s="68"/>
      <c r="IL61" s="68"/>
      <c r="IM61" s="68"/>
      <c r="IN61" s="68"/>
      <c r="IO61" s="68"/>
      <c r="IP61" s="68"/>
      <c r="IQ61" s="68"/>
      <c r="IR61" s="68"/>
      <c r="IS61" s="68"/>
      <c r="IT61" s="68"/>
      <c r="IU61" s="68"/>
      <c r="IV61" s="68"/>
      <c r="IW61" s="68"/>
      <c r="IX61" s="68"/>
      <c r="IY61" s="68"/>
      <c r="IZ61" s="68"/>
      <c r="JA61" s="68"/>
      <c r="JB61" s="68"/>
      <c r="JC61" s="68"/>
      <c r="JD61" s="68"/>
      <c r="JE61" s="68"/>
      <c r="JF61" s="68"/>
      <c r="JG61" s="68"/>
      <c r="JH61" s="68"/>
      <c r="JI61" s="68"/>
      <c r="JJ61" s="68"/>
      <c r="JK61" s="68"/>
      <c r="JL61" s="68"/>
      <c r="JM61" s="68"/>
      <c r="JN61" s="68"/>
      <c r="JO61" s="68"/>
      <c r="JP61" s="68"/>
      <c r="JQ61" s="68"/>
      <c r="JR61" s="68"/>
      <c r="JS61" s="68"/>
      <c r="JT61" s="68"/>
      <c r="JU61" s="68"/>
      <c r="JV61" s="68"/>
      <c r="JW61" s="68"/>
      <c r="JX61" s="68"/>
      <c r="JY61" s="68"/>
      <c r="JZ61" s="68"/>
      <c r="KA61" s="68"/>
      <c r="KB61" s="68"/>
      <c r="KC61" s="68"/>
      <c r="KD61" s="68"/>
      <c r="KE61" s="68"/>
      <c r="KF61" s="68"/>
      <c r="KG61" s="68"/>
      <c r="KH61" s="68"/>
      <c r="KI61" s="68"/>
      <c r="KJ61" s="68"/>
      <c r="KK61" s="68"/>
      <c r="KL61" s="68"/>
      <c r="KM61" s="68"/>
      <c r="KN61" s="68"/>
      <c r="KO61" s="68"/>
      <c r="KP61" s="68"/>
      <c r="KQ61" s="68"/>
      <c r="KR61" s="68"/>
      <c r="KS61" s="68"/>
      <c r="KT61" s="68"/>
      <c r="KU61" s="68"/>
      <c r="KV61" s="68"/>
      <c r="KW61" s="68"/>
      <c r="KX61" s="68"/>
      <c r="KY61" s="68"/>
      <c r="KZ61" s="68"/>
      <c r="LA61" s="68"/>
      <c r="LB61" s="68"/>
      <c r="LC61" s="68"/>
      <c r="LD61" s="68"/>
      <c r="LE61" s="68"/>
      <c r="LF61" s="68"/>
      <c r="LG61" s="68"/>
      <c r="LH61" s="68"/>
      <c r="LI61" s="68"/>
      <c r="LJ61" s="68"/>
      <c r="LK61" s="68"/>
      <c r="LL61" s="68"/>
      <c r="LM61" s="68"/>
      <c r="LN61" s="68"/>
      <c r="LO61" s="68"/>
      <c r="LP61" s="68"/>
      <c r="LQ61" s="68"/>
      <c r="LR61" s="68"/>
      <c r="LS61" s="68"/>
      <c r="LT61" s="68"/>
      <c r="LU61" s="68"/>
      <c r="LV61" s="68"/>
      <c r="LW61" s="68"/>
      <c r="LX61" s="68"/>
      <c r="LY61" s="68"/>
      <c r="LZ61" s="68"/>
      <c r="MA61" s="68"/>
      <c r="MB61" s="68"/>
      <c r="MC61" s="68"/>
      <c r="MD61" s="68"/>
      <c r="ME61" s="68"/>
      <c r="MF61" s="68"/>
      <c r="MG61" s="68"/>
      <c r="MH61" s="68"/>
      <c r="MI61" s="68"/>
      <c r="MJ61" s="68"/>
      <c r="MK61" s="68"/>
      <c r="ML61" s="68"/>
      <c r="MM61" s="68"/>
      <c r="MN61" s="68"/>
      <c r="MO61" s="68"/>
      <c r="MP61" s="68"/>
      <c r="MQ61" s="68"/>
      <c r="MR61" s="68"/>
      <c r="MS61" s="68"/>
      <c r="MT61" s="68"/>
      <c r="MU61" s="68"/>
      <c r="MV61" s="68"/>
      <c r="MW61" s="68"/>
      <c r="MX61" s="68"/>
      <c r="MY61" s="68"/>
      <c r="MZ61" s="68"/>
      <c r="NA61" s="68"/>
      <c r="NB61" s="68"/>
      <c r="NC61" s="68"/>
      <c r="ND61" s="68"/>
      <c r="NE61" s="68"/>
      <c r="NF61" s="68"/>
      <c r="NG61" s="68"/>
      <c r="NH61" s="68"/>
      <c r="NI61" s="68"/>
      <c r="NJ61" s="68"/>
      <c r="NK61" s="68"/>
      <c r="NL61" s="68"/>
      <c r="NM61" s="68"/>
      <c r="NN61" s="68"/>
      <c r="NO61" s="68"/>
      <c r="NP61" s="68"/>
      <c r="NQ61" s="68"/>
      <c r="NR61" s="68"/>
      <c r="NS61" s="68"/>
      <c r="NT61" s="68"/>
      <c r="NU61" s="68"/>
      <c r="NV61" s="68"/>
      <c r="NW61" s="68"/>
      <c r="NX61" s="68"/>
      <c r="NY61" s="68"/>
      <c r="NZ61" s="68"/>
      <c r="OA61" s="68"/>
      <c r="OB61" s="68"/>
      <c r="OC61" s="68"/>
      <c r="OD61" s="68"/>
      <c r="OE61" s="68"/>
      <c r="OF61" s="68"/>
      <c r="OG61" s="68"/>
      <c r="OH61" s="68"/>
      <c r="OI61" s="68"/>
      <c r="OJ61" s="68"/>
      <c r="OK61" s="68"/>
      <c r="OL61" s="68"/>
      <c r="OM61" s="68"/>
      <c r="ON61" s="68"/>
      <c r="OO61" s="68"/>
      <c r="OP61" s="68"/>
      <c r="OQ61" s="68"/>
      <c r="OR61" s="68"/>
      <c r="OS61" s="68"/>
      <c r="OT61" s="68"/>
      <c r="OU61" s="68"/>
      <c r="OV61" s="68"/>
      <c r="OW61" s="68"/>
      <c r="OX61" s="68"/>
      <c r="OY61" s="68"/>
      <c r="OZ61" s="68"/>
      <c r="PA61" s="68"/>
      <c r="PB61" s="68"/>
      <c r="PC61" s="68"/>
      <c r="PD61" s="68"/>
      <c r="PE61" s="68"/>
      <c r="PF61" s="68"/>
      <c r="PG61" s="68"/>
      <c r="PH61" s="68"/>
      <c r="PI61" s="68"/>
      <c r="PJ61" s="68"/>
      <c r="PK61" s="68"/>
      <c r="PL61" s="68"/>
      <c r="PM61" s="68"/>
      <c r="PN61" s="68"/>
      <c r="PO61" s="68"/>
      <c r="PP61" s="68"/>
      <c r="PQ61" s="68"/>
      <c r="PR61" s="68"/>
      <c r="PS61" s="68"/>
      <c r="PT61" s="68"/>
      <c r="PU61" s="68"/>
      <c r="PV61" s="68"/>
      <c r="PW61" s="68"/>
      <c r="PX61" s="68"/>
      <c r="PY61" s="68"/>
      <c r="PZ61" s="68"/>
      <c r="QA61" s="68"/>
      <c r="QB61" s="68"/>
      <c r="QC61" s="68"/>
      <c r="QD61" s="68"/>
      <c r="QE61" s="68"/>
      <c r="QF61" s="68"/>
      <c r="QG61" s="68"/>
      <c r="QH61" s="68"/>
      <c r="QI61" s="68"/>
      <c r="QJ61" s="68"/>
      <c r="QK61" s="68"/>
      <c r="QL61" s="68"/>
      <c r="QM61" s="68"/>
      <c r="QN61" s="68"/>
      <c r="QO61" s="68"/>
      <c r="QP61" s="68"/>
      <c r="QQ61" s="68"/>
      <c r="QR61" s="68"/>
      <c r="QS61" s="68"/>
      <c r="QT61" s="68"/>
      <c r="QU61" s="68"/>
      <c r="QV61" s="68"/>
      <c r="QW61" s="68"/>
      <c r="QX61" s="68"/>
      <c r="QY61" s="68"/>
      <c r="QZ61" s="68"/>
      <c r="RA61" s="68"/>
      <c r="RB61" s="68"/>
      <c r="RC61" s="68"/>
      <c r="RD61" s="68"/>
      <c r="RE61" s="68"/>
      <c r="RF61" s="68"/>
      <c r="RG61" s="68"/>
      <c r="RH61" s="68"/>
      <c r="RI61" s="68"/>
      <c r="RJ61" s="68"/>
      <c r="RK61" s="68"/>
      <c r="RL61" s="68"/>
      <c r="RM61" s="68"/>
      <c r="RN61" s="68"/>
      <c r="RO61" s="68"/>
      <c r="RP61" s="68"/>
      <c r="RQ61" s="68"/>
      <c r="RR61" s="68"/>
      <c r="RS61" s="68"/>
      <c r="RT61" s="68"/>
      <c r="RU61" s="68"/>
      <c r="RV61" s="68"/>
      <c r="RW61" s="68"/>
      <c r="RX61" s="68"/>
      <c r="RY61" s="68"/>
      <c r="RZ61" s="68"/>
      <c r="SA61" s="68"/>
      <c r="SB61" s="68"/>
      <c r="SC61" s="68"/>
      <c r="SD61" s="68"/>
      <c r="SE61" s="68"/>
      <c r="SF61" s="68"/>
      <c r="SG61" s="68"/>
      <c r="SH61" s="68"/>
      <c r="SI61" s="68"/>
      <c r="SJ61" s="68"/>
      <c r="SK61" s="68"/>
      <c r="SL61" s="68"/>
      <c r="SM61" s="68"/>
      <c r="SN61" s="68"/>
      <c r="SO61" s="68"/>
      <c r="SP61" s="68"/>
      <c r="SQ61" s="68"/>
      <c r="SR61" s="68"/>
      <c r="SS61" s="68"/>
      <c r="ST61" s="68"/>
      <c r="SU61" s="68"/>
      <c r="SV61" s="68"/>
      <c r="SW61" s="68"/>
      <c r="SX61" s="68"/>
      <c r="SY61" s="68"/>
      <c r="SZ61" s="68"/>
      <c r="TA61" s="68"/>
      <c r="TB61" s="68"/>
      <c r="TC61" s="68"/>
      <c r="TD61" s="68"/>
      <c r="TE61" s="68"/>
      <c r="TF61" s="68"/>
      <c r="TG61" s="68"/>
      <c r="TH61" s="68"/>
      <c r="TI61" s="68"/>
      <c r="TJ61" s="68"/>
      <c r="TK61" s="68"/>
      <c r="TL61" s="68"/>
      <c r="TM61" s="68"/>
      <c r="TN61" s="68"/>
      <c r="TO61" s="68"/>
      <c r="TP61" s="68"/>
      <c r="TQ61" s="68"/>
      <c r="TR61" s="68"/>
      <c r="TS61" s="68"/>
      <c r="TT61" s="68"/>
      <c r="TU61" s="68"/>
      <c r="TV61" s="68"/>
      <c r="TW61" s="68"/>
      <c r="TX61" s="68"/>
      <c r="TY61" s="68"/>
      <c r="TZ61" s="68"/>
      <c r="UA61" s="68"/>
      <c r="UB61" s="68"/>
      <c r="UC61" s="68"/>
      <c r="UD61" s="68"/>
      <c r="UE61" s="68"/>
      <c r="UF61" s="68"/>
      <c r="UG61" s="68"/>
      <c r="UH61" s="68"/>
      <c r="UI61" s="68"/>
      <c r="UJ61" s="68"/>
      <c r="UK61" s="68"/>
      <c r="UL61" s="68"/>
      <c r="UM61" s="68"/>
      <c r="UN61" s="68"/>
      <c r="UO61" s="68"/>
      <c r="UP61" s="68"/>
      <c r="UQ61" s="68"/>
      <c r="UR61" s="68"/>
      <c r="US61" s="68"/>
      <c r="UT61" s="68"/>
      <c r="UU61" s="68"/>
      <c r="UV61" s="68"/>
      <c r="UW61" s="68"/>
      <c r="UX61" s="68"/>
      <c r="UY61" s="68"/>
      <c r="UZ61" s="68"/>
      <c r="VA61" s="68"/>
      <c r="VB61" s="68"/>
      <c r="VC61" s="68"/>
      <c r="VD61" s="68"/>
      <c r="VE61" s="68"/>
      <c r="VF61" s="68"/>
      <c r="VG61" s="68"/>
      <c r="VH61" s="68"/>
      <c r="VI61" s="68"/>
      <c r="VJ61" s="68"/>
      <c r="VK61" s="68"/>
      <c r="VL61" s="68"/>
      <c r="VM61" s="68"/>
      <c r="VN61" s="68"/>
      <c r="VO61" s="68"/>
      <c r="VP61" s="68"/>
      <c r="VQ61" s="68"/>
      <c r="VR61" s="68"/>
      <c r="VS61" s="68"/>
      <c r="VT61" s="68"/>
      <c r="VU61" s="68"/>
      <c r="VV61" s="68"/>
      <c r="VW61" s="68"/>
      <c r="VX61" s="68"/>
      <c r="VY61" s="68"/>
      <c r="VZ61" s="68"/>
      <c r="WA61" s="68"/>
      <c r="WB61" s="68"/>
      <c r="WC61" s="68"/>
      <c r="WD61" s="68"/>
      <c r="WE61" s="68"/>
      <c r="WF61" s="68"/>
      <c r="WG61" s="68"/>
      <c r="WH61" s="68"/>
      <c r="WI61" s="68"/>
      <c r="WJ61" s="68"/>
      <c r="WK61" s="68"/>
      <c r="WL61" s="68"/>
      <c r="WM61" s="68"/>
      <c r="WN61" s="68"/>
      <c r="WO61" s="68"/>
      <c r="WP61" s="68"/>
      <c r="WQ61" s="68"/>
      <c r="WR61" s="68"/>
      <c r="WS61" s="68"/>
      <c r="WT61" s="68"/>
      <c r="WU61" s="68"/>
      <c r="WV61" s="68"/>
      <c r="WW61" s="68"/>
      <c r="WX61" s="68"/>
      <c r="WY61" s="68"/>
      <c r="WZ61" s="68"/>
      <c r="XA61" s="68"/>
      <c r="XB61" s="68"/>
      <c r="XC61" s="68"/>
      <c r="XD61" s="68"/>
      <c r="XE61" s="68"/>
      <c r="XF61" s="68"/>
      <c r="XG61" s="68"/>
      <c r="XH61" s="68"/>
      <c r="XI61" s="68"/>
      <c r="XJ61" s="68"/>
      <c r="XK61" s="68"/>
      <c r="XL61" s="68"/>
      <c r="XM61" s="68"/>
      <c r="XN61" s="68"/>
      <c r="XO61" s="68"/>
      <c r="XP61" s="68"/>
      <c r="XQ61" s="68"/>
      <c r="XR61" s="68"/>
      <c r="XS61" s="68"/>
      <c r="XT61" s="68"/>
      <c r="XU61" s="68"/>
      <c r="XV61" s="68"/>
      <c r="XW61" s="68"/>
      <c r="XX61" s="68"/>
      <c r="XY61" s="68"/>
      <c r="XZ61" s="68"/>
      <c r="YA61" s="68"/>
      <c r="YB61" s="68"/>
      <c r="YC61" s="68"/>
      <c r="YD61" s="68"/>
      <c r="YE61" s="68"/>
      <c r="YF61" s="68"/>
      <c r="YG61" s="68"/>
      <c r="YH61" s="68"/>
      <c r="YI61" s="68"/>
      <c r="YJ61" s="68"/>
      <c r="YK61" s="68"/>
      <c r="YL61" s="68"/>
      <c r="YM61" s="68"/>
      <c r="YN61" s="68"/>
      <c r="YO61" s="68"/>
      <c r="YP61" s="68"/>
      <c r="YQ61" s="68"/>
      <c r="YR61" s="68"/>
      <c r="YS61" s="68"/>
      <c r="YT61" s="68"/>
      <c r="YU61" s="68"/>
      <c r="YV61" s="68"/>
      <c r="YW61" s="68"/>
      <c r="YX61" s="68"/>
      <c r="YY61" s="68"/>
      <c r="YZ61" s="68"/>
      <c r="ZA61" s="68"/>
      <c r="ZB61" s="68"/>
      <c r="ZC61" s="68"/>
      <c r="ZD61" s="68"/>
      <c r="ZE61" s="68"/>
      <c r="ZF61" s="68"/>
      <c r="ZG61" s="68"/>
      <c r="ZH61" s="68"/>
      <c r="ZI61" s="68"/>
      <c r="ZJ61" s="68"/>
      <c r="ZK61" s="68"/>
      <c r="ZL61" s="68"/>
      <c r="ZM61" s="68"/>
      <c r="ZN61" s="68"/>
      <c r="ZO61" s="68"/>
      <c r="ZP61" s="68"/>
      <c r="ZQ61" s="68"/>
      <c r="ZR61" s="68"/>
      <c r="ZS61" s="68"/>
      <c r="ZT61" s="68"/>
      <c r="ZU61" s="68"/>
      <c r="ZV61" s="68"/>
      <c r="ZW61" s="68"/>
      <c r="ZX61" s="68"/>
      <c r="ZY61" s="68"/>
      <c r="ZZ61" s="68"/>
      <c r="AAA61" s="68"/>
      <c r="AAB61" s="68"/>
      <c r="AAC61" s="68"/>
      <c r="AAD61" s="68"/>
      <c r="AAE61" s="68"/>
      <c r="AAF61" s="68"/>
      <c r="AAG61" s="68"/>
      <c r="AAH61" s="68"/>
      <c r="AAI61" s="68"/>
      <c r="AAJ61" s="68"/>
      <c r="AAK61" s="68"/>
      <c r="AAL61" s="68"/>
      <c r="AAM61" s="68"/>
      <c r="AAN61" s="68"/>
      <c r="AAO61" s="68"/>
      <c r="AAP61" s="68"/>
      <c r="AAQ61" s="68"/>
      <c r="AAR61" s="68"/>
      <c r="AAS61" s="68"/>
      <c r="AAT61" s="68"/>
      <c r="AAU61" s="68"/>
      <c r="AAV61" s="68"/>
      <c r="AAW61" s="68"/>
      <c r="AAX61" s="68"/>
      <c r="AAY61" s="68"/>
      <c r="AAZ61" s="68"/>
      <c r="ABA61" s="68"/>
      <c r="ABB61" s="68"/>
      <c r="ABC61" s="68"/>
      <c r="ABD61" s="68"/>
      <c r="ABE61" s="68"/>
      <c r="ABF61" s="68"/>
      <c r="ABG61" s="68"/>
      <c r="ABH61" s="68"/>
      <c r="ABI61" s="68"/>
      <c r="ABJ61" s="68"/>
      <c r="ABK61" s="68"/>
      <c r="ABL61" s="68"/>
      <c r="ABM61" s="68"/>
      <c r="ABN61" s="68"/>
      <c r="ABO61" s="68"/>
      <c r="ABP61" s="68"/>
      <c r="ABQ61" s="68"/>
      <c r="ABR61" s="68"/>
      <c r="ABS61" s="68"/>
      <c r="ABT61" s="68"/>
      <c r="ABU61" s="68"/>
      <c r="ABV61" s="68"/>
      <c r="ABW61" s="68"/>
      <c r="ABX61" s="68"/>
      <c r="ABY61" s="68"/>
      <c r="ABZ61" s="68"/>
      <c r="ACA61" s="68"/>
      <c r="ACB61" s="68"/>
      <c r="ACC61" s="68"/>
      <c r="ACD61" s="68"/>
      <c r="ACE61" s="68"/>
      <c r="ACF61" s="68"/>
      <c r="ACG61" s="68"/>
      <c r="ACH61" s="68"/>
      <c r="ACI61" s="68"/>
      <c r="ACJ61" s="68"/>
      <c r="ACK61" s="68"/>
      <c r="ACL61" s="68"/>
      <c r="ACM61" s="68"/>
      <c r="ACN61" s="68"/>
      <c r="ACO61" s="68"/>
      <c r="ACP61" s="68"/>
      <c r="ACQ61" s="68"/>
      <c r="ACR61" s="68"/>
      <c r="ACS61" s="68"/>
      <c r="ACT61" s="68"/>
      <c r="ACU61" s="68"/>
      <c r="ACV61" s="68"/>
      <c r="ACW61" s="68"/>
      <c r="ACX61" s="68"/>
      <c r="ACY61" s="68"/>
      <c r="ACZ61" s="68"/>
      <c r="ADA61" s="68"/>
      <c r="ADB61" s="68"/>
      <c r="ADC61" s="68"/>
      <c r="ADD61" s="68"/>
      <c r="ADE61" s="68"/>
      <c r="ADF61" s="68"/>
      <c r="ADG61" s="68"/>
      <c r="ADH61" s="68"/>
      <c r="ADI61" s="68"/>
      <c r="ADJ61" s="68"/>
      <c r="ADK61" s="68"/>
      <c r="ADL61" s="68"/>
      <c r="ADM61" s="68"/>
      <c r="ADN61" s="68"/>
      <c r="ADO61" s="68"/>
      <c r="ADP61" s="68"/>
      <c r="ADQ61" s="68"/>
      <c r="ADR61" s="68"/>
      <c r="ADS61" s="68"/>
      <c r="ADT61" s="68"/>
      <c r="ADU61" s="68"/>
      <c r="ADV61" s="68"/>
      <c r="ADW61" s="68"/>
      <c r="ADX61" s="68"/>
      <c r="ADY61" s="68"/>
      <c r="ADZ61" s="68"/>
      <c r="AEA61" s="68"/>
      <c r="AEB61" s="68"/>
      <c r="AEC61" s="68"/>
      <c r="AED61" s="68"/>
      <c r="AEE61" s="68"/>
      <c r="AEF61" s="68"/>
      <c r="AEG61" s="68"/>
      <c r="AEH61" s="68"/>
      <c r="AEI61" s="68"/>
      <c r="AEJ61" s="68"/>
      <c r="AEK61" s="68"/>
      <c r="AEL61" s="68"/>
      <c r="AEM61" s="68"/>
      <c r="AEN61" s="68"/>
      <c r="AEO61" s="68"/>
      <c r="AEP61" s="68"/>
      <c r="AEQ61" s="68"/>
      <c r="AER61" s="68"/>
      <c r="AES61" s="68"/>
      <c r="AET61" s="68"/>
      <c r="AEU61" s="68"/>
      <c r="AEV61" s="68"/>
      <c r="AEW61" s="68"/>
      <c r="AEX61" s="68"/>
      <c r="AEY61" s="68"/>
      <c r="AEZ61" s="68"/>
      <c r="AFA61" s="68"/>
      <c r="AFB61" s="68"/>
      <c r="AFC61" s="68"/>
      <c r="AFD61" s="68"/>
      <c r="AFE61" s="68"/>
      <c r="AFF61" s="68"/>
      <c r="AFG61" s="68"/>
      <c r="AFH61" s="68"/>
      <c r="AFI61" s="68"/>
      <c r="AFJ61" s="68"/>
      <c r="AFK61" s="68"/>
      <c r="AFL61" s="68"/>
      <c r="AFM61" s="68"/>
      <c r="AFN61" s="68"/>
      <c r="AFO61" s="68"/>
      <c r="AFP61" s="68"/>
      <c r="AFQ61" s="68"/>
      <c r="AFR61" s="68"/>
      <c r="AFS61" s="68"/>
      <c r="AFT61" s="68"/>
      <c r="AFU61" s="68"/>
      <c r="AFV61" s="68"/>
      <c r="AFW61" s="68"/>
      <c r="AFX61" s="68"/>
      <c r="AFY61" s="68"/>
      <c r="AFZ61" s="68"/>
      <c r="AGA61" s="68"/>
      <c r="AGB61" s="68"/>
      <c r="AGC61" s="68"/>
      <c r="AGD61" s="68"/>
      <c r="AGE61" s="68"/>
      <c r="AGF61" s="68"/>
      <c r="AGG61" s="68"/>
      <c r="AGH61" s="68"/>
      <c r="AGI61" s="68"/>
      <c r="AGJ61" s="68"/>
      <c r="AGK61" s="68"/>
      <c r="AGL61" s="68"/>
      <c r="AGM61" s="68"/>
      <c r="AGN61" s="68"/>
      <c r="AGO61" s="68"/>
      <c r="AGP61" s="68"/>
      <c r="AGQ61" s="68"/>
      <c r="AGR61" s="68"/>
      <c r="AGS61" s="68"/>
      <c r="AGT61" s="68"/>
      <c r="AGU61" s="68"/>
      <c r="AGV61" s="68"/>
      <c r="AGW61" s="68"/>
      <c r="AGX61" s="68"/>
      <c r="AGY61" s="68"/>
      <c r="AGZ61" s="68"/>
      <c r="AHA61" s="68"/>
      <c r="AHB61" s="68"/>
      <c r="AHC61" s="68"/>
      <c r="AHD61" s="68"/>
      <c r="AHE61" s="68"/>
      <c r="AHF61" s="68"/>
      <c r="AHG61" s="68"/>
      <c r="AHH61" s="68"/>
      <c r="AHI61" s="68"/>
      <c r="AHJ61" s="68"/>
      <c r="AHK61" s="68"/>
      <c r="AHL61" s="68"/>
      <c r="AHM61" s="68"/>
      <c r="AHN61" s="68"/>
      <c r="AHO61" s="68"/>
      <c r="AHP61" s="68"/>
      <c r="AHQ61" s="68"/>
      <c r="AHR61" s="68"/>
      <c r="AHS61" s="68"/>
      <c r="AHT61" s="68"/>
      <c r="AHU61" s="68"/>
      <c r="AHV61" s="68"/>
      <c r="AHW61" s="68"/>
      <c r="AHX61" s="68"/>
      <c r="AHY61" s="68"/>
      <c r="AHZ61" s="68"/>
      <c r="AIA61" s="68"/>
      <c r="AIB61" s="68"/>
      <c r="AIC61" s="68"/>
      <c r="AID61" s="68"/>
      <c r="AIE61" s="68"/>
      <c r="AIF61" s="68"/>
      <c r="AIG61" s="68"/>
      <c r="AIH61" s="68"/>
      <c r="AII61" s="68"/>
      <c r="AIJ61" s="68"/>
      <c r="AIK61" s="68"/>
      <c r="AIL61" s="68"/>
      <c r="AIM61" s="68"/>
      <c r="AIN61" s="68"/>
      <c r="AIO61" s="68"/>
      <c r="AIP61" s="68"/>
      <c r="AIQ61" s="68"/>
      <c r="AIR61" s="68"/>
      <c r="AIS61" s="68"/>
      <c r="AIT61" s="68"/>
      <c r="AIU61" s="68"/>
      <c r="AIV61" s="68"/>
      <c r="AIW61" s="68"/>
      <c r="AIX61" s="68"/>
      <c r="AIY61" s="68"/>
      <c r="AIZ61" s="68"/>
      <c r="AJA61" s="68"/>
      <c r="AJB61" s="68"/>
      <c r="AJC61" s="68"/>
    </row>
    <row r="62" spans="1:939" s="6" customFormat="1" ht="91.5" customHeight="1" outlineLevel="1" x14ac:dyDescent="0.25">
      <c r="A62" s="225">
        <v>34</v>
      </c>
      <c r="B62" s="282" t="s">
        <v>100</v>
      </c>
      <c r="C62" s="282" t="s">
        <v>101</v>
      </c>
      <c r="D62" s="282" t="s">
        <v>145</v>
      </c>
      <c r="E62" s="282"/>
      <c r="F62" s="282"/>
      <c r="G62" s="282"/>
      <c r="H62" s="282"/>
      <c r="I62" s="282"/>
      <c r="J62" s="282"/>
      <c r="K62" s="289" t="s">
        <v>102</v>
      </c>
      <c r="L62" s="282" t="s">
        <v>215</v>
      </c>
      <c r="M62" s="282" t="s">
        <v>51</v>
      </c>
      <c r="N62" s="284">
        <v>74000000000</v>
      </c>
      <c r="O62" s="284">
        <f t="shared" ref="O62:O68" si="9">IF(M62=$B$150,N62,IF(M62=$B$152,N62*$C$152/$C$150,IF(M62=$B$151,N62*$C$151/$C$150,IF(M62=$B$149,N62/$C$150))))</f>
        <v>182810840.18873984</v>
      </c>
      <c r="P62" s="284">
        <v>74000000000</v>
      </c>
      <c r="Q62" s="290" t="s">
        <v>67</v>
      </c>
      <c r="R62" s="284">
        <f>38761904762.2+1761904761.9+1761904761.9+1761904761.9+1761904761.9+1761904761.9+1761904761.9+1761904761.9+1761904761.9+1761904761.9+1761904761.9+1761904761.9+1761904761.9+1761904761.9+1761904761.9+1761904761.9</f>
        <v>65190476190.70002</v>
      </c>
      <c r="S62" s="284">
        <f>27947019022.9+'[1]Հետաձգման որոշմամբ'!$J$226+'[1]Հետաձգման որոշմամբ'!$J$227</f>
        <v>27971909177.500004</v>
      </c>
      <c r="T62" s="286">
        <f>P62-R62</f>
        <v>8809523809.2999802</v>
      </c>
      <c r="U62" s="284">
        <f t="shared" ref="U62:U68" si="10">IF(M62=$B$150,T62,IF(M62=$B$152,T62*$C$152/$C$150,IF(M62=$B$151,T62*$C$151/$C$150,IF(M62=$B$149,T62/$C$150))))</f>
        <v>21763195.260011315</v>
      </c>
      <c r="V62" s="291" t="s">
        <v>111</v>
      </c>
      <c r="W62" s="292" t="s">
        <v>377</v>
      </c>
      <c r="X62" s="5"/>
    </row>
    <row r="63" spans="1:939" s="248" customFormat="1" ht="91.5" customHeight="1" outlineLevel="1" x14ac:dyDescent="0.25">
      <c r="A63" s="240">
        <v>35</v>
      </c>
      <c r="B63" s="241" t="s">
        <v>100</v>
      </c>
      <c r="C63" s="241" t="s">
        <v>131</v>
      </c>
      <c r="D63" s="241" t="s">
        <v>132</v>
      </c>
      <c r="E63" s="241"/>
      <c r="F63" s="241"/>
      <c r="G63" s="241"/>
      <c r="H63" s="241"/>
      <c r="I63" s="241"/>
      <c r="J63" s="241"/>
      <c r="K63" s="242" t="s">
        <v>133</v>
      </c>
      <c r="L63" s="241" t="s">
        <v>134</v>
      </c>
      <c r="M63" s="241" t="s">
        <v>51</v>
      </c>
      <c r="N63" s="243">
        <v>2035890300</v>
      </c>
      <c r="O63" s="243">
        <f t="shared" si="9"/>
        <v>5029497.517231157</v>
      </c>
      <c r="P63" s="243">
        <v>2035890300</v>
      </c>
      <c r="Q63" s="244" t="s">
        <v>98</v>
      </c>
      <c r="R63" s="243">
        <v>0</v>
      </c>
      <c r="S63" s="243">
        <v>0</v>
      </c>
      <c r="T63" s="245">
        <f t="shared" ref="T63:T68" si="11">P63-R63</f>
        <v>2035890300</v>
      </c>
      <c r="U63" s="243">
        <f t="shared" si="10"/>
        <v>5029497.517231157</v>
      </c>
      <c r="V63" s="246" t="s">
        <v>111</v>
      </c>
      <c r="W63" s="249"/>
      <c r="X63" s="5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</row>
    <row r="64" spans="1:939" s="27" customFormat="1" ht="121.5" outlineLevel="1" x14ac:dyDescent="0.25">
      <c r="A64" s="334">
        <v>36</v>
      </c>
      <c r="B64" s="327" t="s">
        <v>3</v>
      </c>
      <c r="C64" s="316" t="s">
        <v>4</v>
      </c>
      <c r="D64" s="326" t="s">
        <v>61</v>
      </c>
      <c r="E64" s="317" t="s">
        <v>30</v>
      </c>
      <c r="F64" s="314">
        <v>3500000</v>
      </c>
      <c r="G64" s="314">
        <v>3500000</v>
      </c>
      <c r="H64" s="46">
        <v>7.4999999999999997E-3</v>
      </c>
      <c r="I64" s="43">
        <v>0</v>
      </c>
      <c r="J64" s="314">
        <f>G64-I64</f>
        <v>3500000</v>
      </c>
      <c r="K64" s="319" t="s">
        <v>360</v>
      </c>
      <c r="L64" s="326" t="s">
        <v>80</v>
      </c>
      <c r="M64" s="317" t="s">
        <v>30</v>
      </c>
      <c r="N64" s="7">
        <v>3500000</v>
      </c>
      <c r="O64" s="7">
        <f t="shared" si="9"/>
        <v>3872748.8327280809</v>
      </c>
      <c r="P64" s="7">
        <v>3500000</v>
      </c>
      <c r="Q64" s="46">
        <v>7.4999999999999997E-3</v>
      </c>
      <c r="R64" s="1">
        <f>696000+31440060/542.07+58000+24255020/418.19+24400600/420.7+25920780/446.91</f>
        <v>986000</v>
      </c>
      <c r="S64" s="1">
        <f>399592.922231146+10515+10297.5+4215355.2/418.19+4149153.8/420.7+4310447/446.91</f>
        <v>449992.92246187496</v>
      </c>
      <c r="T64" s="314">
        <f t="shared" si="11"/>
        <v>2514000</v>
      </c>
      <c r="U64" s="7">
        <f t="shared" si="10"/>
        <v>2781740.1615652558</v>
      </c>
      <c r="V64" s="44" t="s">
        <v>111</v>
      </c>
      <c r="W64" s="45"/>
      <c r="X64" s="26"/>
    </row>
    <row r="65" spans="1:939" s="239" customFormat="1" ht="69" customHeight="1" outlineLevel="1" x14ac:dyDescent="0.25">
      <c r="A65" s="203">
        <v>37</v>
      </c>
      <c r="B65" s="204" t="s">
        <v>118</v>
      </c>
      <c r="C65" s="205" t="s">
        <v>122</v>
      </c>
      <c r="D65" s="205" t="s">
        <v>8</v>
      </c>
      <c r="E65" s="207" t="s">
        <v>64</v>
      </c>
      <c r="F65" s="233">
        <v>1173750</v>
      </c>
      <c r="G65" s="233">
        <v>1109413</v>
      </c>
      <c r="H65" s="238"/>
      <c r="I65" s="233"/>
      <c r="J65" s="233"/>
      <c r="K65" s="207" t="s">
        <v>119</v>
      </c>
      <c r="L65" s="206" t="s">
        <v>177</v>
      </c>
      <c r="M65" s="231" t="s">
        <v>26</v>
      </c>
      <c r="N65" s="218">
        <v>1689937.9</v>
      </c>
      <c r="O65" s="209">
        <f t="shared" si="9"/>
        <v>1689937.9</v>
      </c>
      <c r="P65" s="209">
        <v>1689937.9</v>
      </c>
      <c r="Q65" s="238">
        <v>5.9900000000000002E-2</v>
      </c>
      <c r="R65" s="209">
        <f>872805.23+28165+28165</f>
        <v>929135.23</v>
      </c>
      <c r="S65" s="209">
        <f>1964862.47+25588.58+24871.58</f>
        <v>2015322.6300000001</v>
      </c>
      <c r="T65" s="218">
        <f t="shared" si="11"/>
        <v>760802.66999999993</v>
      </c>
      <c r="U65" s="209">
        <f t="shared" si="10"/>
        <v>760802.66999999993</v>
      </c>
      <c r="V65" s="212" t="s">
        <v>111</v>
      </c>
      <c r="W65" s="219"/>
      <c r="X65" s="2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</row>
    <row r="66" spans="1:939" s="239" customFormat="1" ht="69.75" customHeight="1" outlineLevel="1" x14ac:dyDescent="0.25">
      <c r="A66" s="362">
        <v>38</v>
      </c>
      <c r="B66" s="204" t="s">
        <v>120</v>
      </c>
      <c r="C66" s="205" t="s">
        <v>123</v>
      </c>
      <c r="D66" s="205" t="s">
        <v>8</v>
      </c>
      <c r="E66" s="231" t="s">
        <v>26</v>
      </c>
      <c r="F66" s="233">
        <v>2828000</v>
      </c>
      <c r="G66" s="233">
        <v>2828000</v>
      </c>
      <c r="H66" s="238"/>
      <c r="I66" s="233"/>
      <c r="J66" s="233"/>
      <c r="K66" s="207" t="s">
        <v>121</v>
      </c>
      <c r="L66" s="206" t="s">
        <v>178</v>
      </c>
      <c r="M66" s="231" t="s">
        <v>26</v>
      </c>
      <c r="N66" s="218">
        <v>2828000</v>
      </c>
      <c r="O66" s="209">
        <f t="shared" si="9"/>
        <v>2828000</v>
      </c>
      <c r="P66" s="209">
        <v>2828000</v>
      </c>
      <c r="Q66" s="238">
        <v>5.9900000000000002E-2</v>
      </c>
      <c r="R66" s="218">
        <f>1128831.5+47000</f>
        <v>1175831.5</v>
      </c>
      <c r="S66" s="209">
        <f>1731608.85+50775.51</f>
        <v>1782384.36</v>
      </c>
      <c r="T66" s="218">
        <f t="shared" si="11"/>
        <v>1652168.5</v>
      </c>
      <c r="U66" s="209">
        <f t="shared" si="10"/>
        <v>1652168.5</v>
      </c>
      <c r="V66" s="212" t="s">
        <v>111</v>
      </c>
      <c r="W66" s="219"/>
      <c r="X66" s="2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</row>
    <row r="67" spans="1:939" s="237" customFormat="1" ht="177" customHeight="1" outlineLevel="1" x14ac:dyDescent="0.25">
      <c r="A67" s="203">
        <v>39</v>
      </c>
      <c r="B67" s="204" t="s">
        <v>114</v>
      </c>
      <c r="C67" s="205" t="s">
        <v>115</v>
      </c>
      <c r="D67" s="205" t="s">
        <v>8</v>
      </c>
      <c r="E67" s="207" t="s">
        <v>64</v>
      </c>
      <c r="F67" s="233">
        <v>7900000</v>
      </c>
      <c r="G67" s="234"/>
      <c r="H67" s="234"/>
      <c r="I67" s="234"/>
      <c r="J67" s="234"/>
      <c r="K67" s="206" t="s">
        <v>116</v>
      </c>
      <c r="L67" s="206" t="s">
        <v>117</v>
      </c>
      <c r="M67" s="205" t="s">
        <v>51</v>
      </c>
      <c r="N67" s="208">
        <v>2092000000</v>
      </c>
      <c r="O67" s="209">
        <f t="shared" si="9"/>
        <v>5168111.8604708612</v>
      </c>
      <c r="P67" s="209">
        <v>2092000000</v>
      </c>
      <c r="Q67" s="235">
        <v>0.02</v>
      </c>
      <c r="R67" s="209">
        <f>354576270+35457627.1+35457627</f>
        <v>425491524.10000002</v>
      </c>
      <c r="S67" s="209">
        <f>426427783.87+17517039.3+16879773.4</f>
        <v>460824596.56999999</v>
      </c>
      <c r="T67" s="218">
        <f t="shared" si="11"/>
        <v>1666508475.9000001</v>
      </c>
      <c r="U67" s="209">
        <f t="shared" si="10"/>
        <v>4116970.4683910175</v>
      </c>
      <c r="V67" s="212" t="s">
        <v>111</v>
      </c>
      <c r="W67" s="219"/>
      <c r="X67" s="214"/>
      <c r="Y67" s="215"/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/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G67" s="215"/>
      <c r="BH67" s="215"/>
      <c r="BI67" s="215"/>
      <c r="BJ67" s="215"/>
      <c r="BK67" s="215"/>
      <c r="BL67" s="215"/>
      <c r="BM67" s="215"/>
      <c r="BN67" s="215"/>
      <c r="BO67" s="215"/>
      <c r="BP67" s="215"/>
      <c r="BQ67" s="215"/>
      <c r="BR67" s="215"/>
      <c r="BS67" s="215"/>
      <c r="BT67" s="215"/>
      <c r="BU67" s="215"/>
      <c r="BV67" s="215"/>
      <c r="BW67" s="215"/>
      <c r="BX67" s="215"/>
      <c r="BY67" s="215"/>
      <c r="BZ67" s="215"/>
      <c r="CA67" s="215"/>
      <c r="CB67" s="215"/>
      <c r="CC67" s="215"/>
      <c r="CD67" s="215"/>
      <c r="CE67" s="215"/>
      <c r="CF67" s="215"/>
      <c r="CG67" s="215"/>
      <c r="CH67" s="215"/>
      <c r="CI67" s="215"/>
      <c r="CJ67" s="215"/>
      <c r="CK67" s="215"/>
      <c r="CL67" s="215"/>
      <c r="CM67" s="215"/>
      <c r="CN67" s="215"/>
      <c r="CO67" s="215"/>
      <c r="CP67" s="215"/>
      <c r="CQ67" s="215"/>
      <c r="CR67" s="215"/>
      <c r="CS67" s="215"/>
      <c r="CT67" s="215"/>
      <c r="CU67" s="215"/>
      <c r="CV67" s="215"/>
      <c r="CW67" s="215"/>
      <c r="CX67" s="215"/>
      <c r="CY67" s="215"/>
      <c r="CZ67" s="215"/>
      <c r="DA67" s="215"/>
      <c r="DB67" s="215"/>
      <c r="DC67" s="215"/>
      <c r="DD67" s="215"/>
      <c r="DE67" s="215"/>
      <c r="DF67" s="215"/>
      <c r="DG67" s="215"/>
      <c r="DH67" s="215"/>
      <c r="DI67" s="215"/>
      <c r="DJ67" s="215"/>
      <c r="DK67" s="215"/>
      <c r="DL67" s="215"/>
      <c r="DM67" s="215"/>
      <c r="DN67" s="215"/>
      <c r="DO67" s="215"/>
      <c r="DP67" s="215"/>
      <c r="DQ67" s="215"/>
      <c r="DR67" s="215"/>
      <c r="DS67" s="215"/>
      <c r="DT67" s="215"/>
      <c r="DU67" s="215"/>
      <c r="DV67" s="215"/>
      <c r="DW67" s="215"/>
      <c r="DX67" s="215"/>
      <c r="DY67" s="215"/>
      <c r="DZ67" s="215"/>
      <c r="EA67" s="215"/>
      <c r="EB67" s="215"/>
      <c r="EC67" s="215"/>
      <c r="ED67" s="215"/>
      <c r="EE67" s="215"/>
      <c r="EF67" s="215"/>
      <c r="EG67" s="215"/>
      <c r="EH67" s="215"/>
      <c r="EI67" s="215"/>
      <c r="EJ67" s="215"/>
      <c r="EK67" s="215"/>
      <c r="EL67" s="215"/>
      <c r="EM67" s="215"/>
      <c r="EN67" s="215"/>
      <c r="EO67" s="215"/>
      <c r="EP67" s="215"/>
      <c r="EQ67" s="215"/>
      <c r="ER67" s="215"/>
      <c r="ES67" s="215"/>
      <c r="ET67" s="215"/>
      <c r="EU67" s="215"/>
      <c r="EV67" s="215"/>
      <c r="EW67" s="215"/>
      <c r="EX67" s="215"/>
      <c r="EY67" s="215"/>
      <c r="EZ67" s="215"/>
      <c r="FA67" s="215"/>
      <c r="FB67" s="215"/>
      <c r="FC67" s="215"/>
      <c r="FD67" s="215"/>
      <c r="FE67" s="215"/>
      <c r="FF67" s="215"/>
      <c r="FG67" s="215"/>
      <c r="FH67" s="215"/>
      <c r="FI67" s="215"/>
      <c r="FJ67" s="215"/>
      <c r="FK67" s="215"/>
      <c r="FL67" s="215"/>
      <c r="FM67" s="215"/>
      <c r="FN67" s="215"/>
      <c r="FO67" s="215"/>
      <c r="FP67" s="215"/>
      <c r="FQ67" s="215"/>
      <c r="FR67" s="215"/>
      <c r="FS67" s="215"/>
      <c r="FT67" s="215"/>
      <c r="FU67" s="215"/>
      <c r="FV67" s="215"/>
      <c r="FW67" s="215"/>
      <c r="FX67" s="215"/>
      <c r="FY67" s="215"/>
      <c r="FZ67" s="215"/>
      <c r="GA67" s="215"/>
      <c r="GB67" s="215"/>
      <c r="GC67" s="215"/>
      <c r="GD67" s="215"/>
      <c r="GE67" s="215"/>
      <c r="GF67" s="215"/>
      <c r="GG67" s="215"/>
      <c r="GH67" s="215"/>
      <c r="GI67" s="215"/>
      <c r="GJ67" s="215"/>
      <c r="GK67" s="215"/>
      <c r="GL67" s="215"/>
      <c r="GM67" s="215"/>
      <c r="GN67" s="215"/>
      <c r="GO67" s="215"/>
      <c r="GP67" s="215"/>
      <c r="GQ67" s="215"/>
      <c r="GR67" s="215"/>
      <c r="GS67" s="215"/>
      <c r="GT67" s="215"/>
      <c r="GU67" s="215"/>
      <c r="GV67" s="215"/>
      <c r="GW67" s="215"/>
      <c r="GX67" s="215"/>
      <c r="GY67" s="215"/>
      <c r="GZ67" s="215"/>
      <c r="HA67" s="215"/>
      <c r="HB67" s="215"/>
      <c r="HC67" s="215"/>
      <c r="HD67" s="215"/>
      <c r="HE67" s="215"/>
      <c r="HF67" s="215"/>
      <c r="HG67" s="215"/>
      <c r="HH67" s="215"/>
      <c r="HI67" s="215"/>
      <c r="HJ67" s="215"/>
      <c r="HK67" s="215"/>
      <c r="HL67" s="215"/>
      <c r="HM67" s="215"/>
      <c r="HN67" s="215"/>
      <c r="HO67" s="215"/>
      <c r="HP67" s="215"/>
      <c r="HQ67" s="215"/>
      <c r="HR67" s="215"/>
      <c r="HS67" s="215"/>
      <c r="HT67" s="215"/>
      <c r="HU67" s="215"/>
      <c r="HV67" s="215"/>
      <c r="HW67" s="215"/>
      <c r="HX67" s="215"/>
      <c r="HY67" s="215"/>
      <c r="HZ67" s="215"/>
      <c r="IA67" s="215"/>
      <c r="IB67" s="215"/>
      <c r="IC67" s="215"/>
      <c r="ID67" s="215"/>
      <c r="IE67" s="215"/>
      <c r="IF67" s="215"/>
      <c r="IG67" s="215"/>
      <c r="IH67" s="215"/>
      <c r="II67" s="215"/>
      <c r="IJ67" s="215"/>
      <c r="IK67" s="215"/>
      <c r="IL67" s="215"/>
      <c r="IM67" s="215"/>
      <c r="IN67" s="215"/>
      <c r="IO67" s="215"/>
      <c r="IP67" s="215"/>
      <c r="IQ67" s="215"/>
      <c r="IR67" s="215"/>
      <c r="IS67" s="215"/>
      <c r="IT67" s="215"/>
      <c r="IU67" s="215"/>
      <c r="IV67" s="215"/>
      <c r="IW67" s="215"/>
      <c r="IX67" s="215"/>
      <c r="IY67" s="215"/>
      <c r="IZ67" s="215"/>
      <c r="JA67" s="215"/>
      <c r="JB67" s="215"/>
      <c r="JC67" s="215"/>
      <c r="JD67" s="215"/>
      <c r="JE67" s="215"/>
      <c r="JF67" s="215"/>
      <c r="JG67" s="215"/>
      <c r="JH67" s="215"/>
      <c r="JI67" s="215"/>
      <c r="JJ67" s="215"/>
      <c r="JK67" s="215"/>
      <c r="JL67" s="215"/>
      <c r="JM67" s="215"/>
      <c r="JN67" s="215"/>
      <c r="JO67" s="215"/>
      <c r="JP67" s="215"/>
      <c r="JQ67" s="215"/>
      <c r="JR67" s="215"/>
      <c r="JS67" s="215"/>
      <c r="JT67" s="215"/>
      <c r="JU67" s="215"/>
      <c r="JV67" s="215"/>
      <c r="JW67" s="215"/>
      <c r="JX67" s="215"/>
      <c r="JY67" s="215"/>
      <c r="JZ67" s="215"/>
      <c r="KA67" s="215"/>
      <c r="KB67" s="215"/>
      <c r="KC67" s="215"/>
      <c r="KD67" s="215"/>
      <c r="KE67" s="215"/>
      <c r="KF67" s="215"/>
      <c r="KG67" s="215"/>
      <c r="KH67" s="215"/>
      <c r="KI67" s="215"/>
      <c r="KJ67" s="215"/>
      <c r="KK67" s="215"/>
      <c r="KL67" s="215"/>
      <c r="KM67" s="215"/>
      <c r="KN67" s="215"/>
      <c r="KO67" s="215"/>
      <c r="KP67" s="215"/>
      <c r="KQ67" s="215"/>
      <c r="KR67" s="215"/>
      <c r="KS67" s="215"/>
      <c r="KT67" s="215"/>
      <c r="KU67" s="215"/>
      <c r="KV67" s="215"/>
      <c r="KW67" s="215"/>
      <c r="KX67" s="215"/>
      <c r="KY67" s="215"/>
      <c r="KZ67" s="215"/>
      <c r="LA67" s="215"/>
      <c r="LB67" s="215"/>
      <c r="LC67" s="215"/>
      <c r="LD67" s="215"/>
      <c r="LE67" s="215"/>
      <c r="LF67" s="215"/>
      <c r="LG67" s="215"/>
      <c r="LH67" s="215"/>
      <c r="LI67" s="215"/>
      <c r="LJ67" s="215"/>
      <c r="LK67" s="215"/>
      <c r="LL67" s="215"/>
      <c r="LM67" s="215"/>
      <c r="LN67" s="215"/>
      <c r="LO67" s="215"/>
      <c r="LP67" s="215"/>
      <c r="LQ67" s="215"/>
      <c r="LR67" s="215"/>
      <c r="LS67" s="215"/>
      <c r="LT67" s="215"/>
      <c r="LU67" s="215"/>
      <c r="LV67" s="215"/>
      <c r="LW67" s="215"/>
      <c r="LX67" s="215"/>
      <c r="LY67" s="215"/>
      <c r="LZ67" s="215"/>
      <c r="MA67" s="215"/>
      <c r="MB67" s="215"/>
      <c r="MC67" s="215"/>
      <c r="MD67" s="215"/>
      <c r="ME67" s="215"/>
      <c r="MF67" s="215"/>
      <c r="MG67" s="215"/>
      <c r="MH67" s="215"/>
      <c r="MI67" s="215"/>
      <c r="MJ67" s="215"/>
      <c r="MK67" s="215"/>
      <c r="ML67" s="215"/>
      <c r="MM67" s="215"/>
      <c r="MN67" s="215"/>
      <c r="MO67" s="215"/>
      <c r="MP67" s="215"/>
      <c r="MQ67" s="215"/>
      <c r="MR67" s="215"/>
      <c r="MS67" s="215"/>
      <c r="MT67" s="215"/>
      <c r="MU67" s="215"/>
      <c r="MV67" s="215"/>
      <c r="MW67" s="215"/>
      <c r="MX67" s="215"/>
      <c r="MY67" s="215"/>
      <c r="MZ67" s="215"/>
      <c r="NA67" s="215"/>
      <c r="NB67" s="215"/>
      <c r="NC67" s="215"/>
      <c r="ND67" s="215"/>
      <c r="NE67" s="215"/>
      <c r="NF67" s="215"/>
      <c r="NG67" s="215"/>
      <c r="NH67" s="215"/>
      <c r="NI67" s="215"/>
      <c r="NJ67" s="215"/>
      <c r="NK67" s="215"/>
      <c r="NL67" s="215"/>
      <c r="NM67" s="215"/>
      <c r="NN67" s="215"/>
      <c r="NO67" s="215"/>
      <c r="NP67" s="215"/>
      <c r="NQ67" s="215"/>
      <c r="NR67" s="215"/>
      <c r="NS67" s="215"/>
      <c r="NT67" s="215"/>
      <c r="NU67" s="215"/>
      <c r="NV67" s="215"/>
      <c r="NW67" s="215"/>
      <c r="NX67" s="215"/>
      <c r="NY67" s="215"/>
      <c r="NZ67" s="215"/>
      <c r="OA67" s="215"/>
      <c r="OB67" s="215"/>
      <c r="OC67" s="215"/>
      <c r="OD67" s="215"/>
      <c r="OE67" s="215"/>
      <c r="OF67" s="215"/>
      <c r="OG67" s="215"/>
      <c r="OH67" s="215"/>
      <c r="OI67" s="215"/>
      <c r="OJ67" s="215"/>
      <c r="OK67" s="215"/>
      <c r="OL67" s="215"/>
      <c r="OM67" s="215"/>
      <c r="ON67" s="215"/>
      <c r="OO67" s="215"/>
      <c r="OP67" s="215"/>
      <c r="OQ67" s="215"/>
      <c r="OR67" s="215"/>
      <c r="OS67" s="215"/>
      <c r="OT67" s="215"/>
      <c r="OU67" s="215"/>
      <c r="OV67" s="215"/>
      <c r="OW67" s="215"/>
      <c r="OX67" s="215"/>
      <c r="OY67" s="215"/>
      <c r="OZ67" s="215"/>
      <c r="PA67" s="215"/>
      <c r="PB67" s="215"/>
      <c r="PC67" s="215"/>
      <c r="PD67" s="215"/>
      <c r="PE67" s="215"/>
      <c r="PF67" s="215"/>
      <c r="PG67" s="215"/>
      <c r="PH67" s="215"/>
      <c r="PI67" s="215"/>
      <c r="PJ67" s="215"/>
      <c r="PK67" s="215"/>
      <c r="PL67" s="215"/>
      <c r="PM67" s="215"/>
      <c r="PN67" s="215"/>
      <c r="PO67" s="215"/>
      <c r="PP67" s="215"/>
      <c r="PQ67" s="215"/>
      <c r="PR67" s="215"/>
      <c r="PS67" s="215"/>
      <c r="PT67" s="215"/>
      <c r="PU67" s="215"/>
      <c r="PV67" s="215"/>
      <c r="PW67" s="215"/>
      <c r="PX67" s="215"/>
      <c r="PY67" s="215"/>
      <c r="PZ67" s="215"/>
      <c r="QA67" s="215"/>
      <c r="QB67" s="215"/>
      <c r="QC67" s="215"/>
      <c r="QD67" s="215"/>
      <c r="QE67" s="215"/>
      <c r="QF67" s="215"/>
      <c r="QG67" s="215"/>
      <c r="QH67" s="215"/>
      <c r="QI67" s="215"/>
      <c r="QJ67" s="215"/>
      <c r="QK67" s="215"/>
      <c r="QL67" s="215"/>
      <c r="QM67" s="215"/>
      <c r="QN67" s="215"/>
      <c r="QO67" s="215"/>
      <c r="QP67" s="215"/>
      <c r="QQ67" s="215"/>
      <c r="QR67" s="215"/>
      <c r="QS67" s="215"/>
      <c r="QT67" s="215"/>
      <c r="QU67" s="215"/>
      <c r="QV67" s="215"/>
      <c r="QW67" s="215"/>
      <c r="QX67" s="215"/>
      <c r="QY67" s="215"/>
      <c r="QZ67" s="215"/>
      <c r="RA67" s="215"/>
      <c r="RB67" s="215"/>
      <c r="RC67" s="215"/>
      <c r="RD67" s="215"/>
      <c r="RE67" s="215"/>
      <c r="RF67" s="215"/>
      <c r="RG67" s="215"/>
      <c r="RH67" s="215"/>
      <c r="RI67" s="215"/>
      <c r="RJ67" s="215"/>
      <c r="RK67" s="215"/>
      <c r="RL67" s="215"/>
      <c r="RM67" s="215"/>
      <c r="RN67" s="215"/>
      <c r="RO67" s="215"/>
      <c r="RP67" s="215"/>
      <c r="RQ67" s="215"/>
      <c r="RR67" s="215"/>
      <c r="RS67" s="215"/>
      <c r="RT67" s="215"/>
      <c r="RU67" s="215"/>
      <c r="RV67" s="215"/>
      <c r="RW67" s="215"/>
      <c r="RX67" s="215"/>
      <c r="RY67" s="215"/>
      <c r="RZ67" s="215"/>
      <c r="SA67" s="215"/>
      <c r="SB67" s="215"/>
      <c r="SC67" s="215"/>
      <c r="SD67" s="215"/>
      <c r="SE67" s="215"/>
      <c r="SF67" s="215"/>
      <c r="SG67" s="215"/>
      <c r="SH67" s="215"/>
      <c r="SI67" s="215"/>
      <c r="SJ67" s="215"/>
      <c r="SK67" s="215"/>
      <c r="SL67" s="215"/>
      <c r="SM67" s="215"/>
      <c r="SN67" s="215"/>
      <c r="SO67" s="215"/>
      <c r="SP67" s="215"/>
      <c r="SQ67" s="215"/>
      <c r="SR67" s="215"/>
      <c r="SS67" s="215"/>
      <c r="ST67" s="215"/>
      <c r="SU67" s="215"/>
      <c r="SV67" s="215"/>
      <c r="SW67" s="215"/>
      <c r="SX67" s="215"/>
      <c r="SY67" s="215"/>
      <c r="SZ67" s="215"/>
      <c r="TA67" s="215"/>
      <c r="TB67" s="215"/>
      <c r="TC67" s="215"/>
      <c r="TD67" s="215"/>
      <c r="TE67" s="215"/>
      <c r="TF67" s="215"/>
      <c r="TG67" s="215"/>
      <c r="TH67" s="215"/>
      <c r="TI67" s="215"/>
      <c r="TJ67" s="215"/>
      <c r="TK67" s="215"/>
      <c r="TL67" s="215"/>
      <c r="TM67" s="215"/>
      <c r="TN67" s="215"/>
      <c r="TO67" s="215"/>
      <c r="TP67" s="215"/>
      <c r="TQ67" s="215"/>
      <c r="TR67" s="215"/>
      <c r="TS67" s="215"/>
      <c r="TT67" s="215"/>
      <c r="TU67" s="215"/>
      <c r="TV67" s="215"/>
      <c r="TW67" s="215"/>
      <c r="TX67" s="215"/>
      <c r="TY67" s="215"/>
      <c r="TZ67" s="215"/>
      <c r="UA67" s="215"/>
      <c r="UB67" s="215"/>
      <c r="UC67" s="215"/>
      <c r="UD67" s="215"/>
      <c r="UE67" s="215"/>
      <c r="UF67" s="215"/>
      <c r="UG67" s="215"/>
      <c r="UH67" s="215"/>
      <c r="UI67" s="215"/>
      <c r="UJ67" s="215"/>
      <c r="UK67" s="215"/>
      <c r="UL67" s="215"/>
      <c r="UM67" s="215"/>
      <c r="UN67" s="215"/>
      <c r="UO67" s="215"/>
      <c r="UP67" s="215"/>
      <c r="UQ67" s="215"/>
      <c r="UR67" s="215"/>
      <c r="US67" s="215"/>
      <c r="UT67" s="215"/>
      <c r="UU67" s="215"/>
      <c r="UV67" s="215"/>
      <c r="UW67" s="215"/>
      <c r="UX67" s="215"/>
      <c r="UY67" s="215"/>
      <c r="UZ67" s="215"/>
      <c r="VA67" s="215"/>
      <c r="VB67" s="215"/>
      <c r="VC67" s="215"/>
      <c r="VD67" s="215"/>
      <c r="VE67" s="215"/>
      <c r="VF67" s="215"/>
      <c r="VG67" s="215"/>
      <c r="VH67" s="215"/>
      <c r="VI67" s="215"/>
      <c r="VJ67" s="215"/>
      <c r="VK67" s="215"/>
      <c r="VL67" s="215"/>
      <c r="VM67" s="215"/>
      <c r="VN67" s="215"/>
      <c r="VO67" s="215"/>
      <c r="VP67" s="215"/>
      <c r="VQ67" s="215"/>
      <c r="VR67" s="215"/>
      <c r="VS67" s="215"/>
      <c r="VT67" s="215"/>
      <c r="VU67" s="215"/>
      <c r="VV67" s="215"/>
      <c r="VW67" s="215"/>
      <c r="VX67" s="215"/>
      <c r="VY67" s="215"/>
      <c r="VZ67" s="215"/>
      <c r="WA67" s="215"/>
      <c r="WB67" s="215"/>
      <c r="WC67" s="215"/>
      <c r="WD67" s="215"/>
      <c r="WE67" s="215"/>
      <c r="WF67" s="215"/>
      <c r="WG67" s="215"/>
      <c r="WH67" s="215"/>
      <c r="WI67" s="215"/>
      <c r="WJ67" s="215"/>
      <c r="WK67" s="215"/>
      <c r="WL67" s="215"/>
      <c r="WM67" s="215"/>
      <c r="WN67" s="215"/>
      <c r="WO67" s="215"/>
      <c r="WP67" s="215"/>
      <c r="WQ67" s="215"/>
      <c r="WR67" s="215"/>
      <c r="WS67" s="215"/>
      <c r="WT67" s="215"/>
      <c r="WU67" s="215"/>
      <c r="WV67" s="215"/>
      <c r="WW67" s="215"/>
      <c r="WX67" s="215"/>
      <c r="WY67" s="215"/>
      <c r="WZ67" s="215"/>
      <c r="XA67" s="215"/>
      <c r="XB67" s="215"/>
      <c r="XC67" s="215"/>
      <c r="XD67" s="215"/>
      <c r="XE67" s="215"/>
      <c r="XF67" s="215"/>
      <c r="XG67" s="215"/>
      <c r="XH67" s="215"/>
      <c r="XI67" s="215"/>
      <c r="XJ67" s="215"/>
      <c r="XK67" s="215"/>
      <c r="XL67" s="215"/>
      <c r="XM67" s="215"/>
      <c r="XN67" s="215"/>
      <c r="XO67" s="215"/>
      <c r="XP67" s="215"/>
      <c r="XQ67" s="215"/>
      <c r="XR67" s="215"/>
      <c r="XS67" s="215"/>
      <c r="XT67" s="215"/>
      <c r="XU67" s="215"/>
      <c r="XV67" s="215"/>
      <c r="XW67" s="215"/>
      <c r="XX67" s="215"/>
      <c r="XY67" s="215"/>
      <c r="XZ67" s="215"/>
      <c r="YA67" s="215"/>
      <c r="YB67" s="215"/>
      <c r="YC67" s="215"/>
      <c r="YD67" s="215"/>
      <c r="YE67" s="215"/>
      <c r="YF67" s="215"/>
      <c r="YG67" s="215"/>
      <c r="YH67" s="215"/>
      <c r="YI67" s="215"/>
      <c r="YJ67" s="215"/>
      <c r="YK67" s="215"/>
      <c r="YL67" s="215"/>
      <c r="YM67" s="215"/>
      <c r="YN67" s="215"/>
      <c r="YO67" s="215"/>
      <c r="YP67" s="215"/>
      <c r="YQ67" s="215"/>
      <c r="YR67" s="215"/>
      <c r="YS67" s="215"/>
      <c r="YT67" s="215"/>
      <c r="YU67" s="215"/>
      <c r="YV67" s="215"/>
      <c r="YW67" s="215"/>
      <c r="YX67" s="215"/>
      <c r="YY67" s="215"/>
      <c r="YZ67" s="215"/>
      <c r="ZA67" s="215"/>
      <c r="ZB67" s="215"/>
      <c r="ZC67" s="215"/>
      <c r="ZD67" s="215"/>
      <c r="ZE67" s="215"/>
      <c r="ZF67" s="215"/>
      <c r="ZG67" s="215"/>
      <c r="ZH67" s="215"/>
      <c r="ZI67" s="215"/>
      <c r="ZJ67" s="215"/>
      <c r="ZK67" s="215"/>
      <c r="ZL67" s="215"/>
      <c r="ZM67" s="215"/>
      <c r="ZN67" s="215"/>
      <c r="ZO67" s="215"/>
      <c r="ZP67" s="215"/>
      <c r="ZQ67" s="215"/>
      <c r="ZR67" s="215"/>
      <c r="ZS67" s="215"/>
      <c r="ZT67" s="215"/>
      <c r="ZU67" s="215"/>
      <c r="ZV67" s="215"/>
      <c r="ZW67" s="215"/>
      <c r="ZX67" s="215"/>
      <c r="ZY67" s="215"/>
      <c r="ZZ67" s="215"/>
      <c r="AAA67" s="215"/>
      <c r="AAB67" s="215"/>
      <c r="AAC67" s="215"/>
      <c r="AAD67" s="215"/>
      <c r="AAE67" s="215"/>
      <c r="AAF67" s="215"/>
      <c r="AAG67" s="215"/>
      <c r="AAH67" s="215"/>
      <c r="AAI67" s="215"/>
      <c r="AAJ67" s="215"/>
      <c r="AAK67" s="215"/>
      <c r="AAL67" s="215"/>
      <c r="AAM67" s="215"/>
      <c r="AAN67" s="215"/>
      <c r="AAO67" s="215"/>
      <c r="AAP67" s="215"/>
      <c r="AAQ67" s="215"/>
      <c r="AAR67" s="215"/>
      <c r="AAS67" s="215"/>
      <c r="AAT67" s="215"/>
      <c r="AAU67" s="215"/>
      <c r="AAV67" s="215"/>
      <c r="AAW67" s="215"/>
      <c r="AAX67" s="215"/>
      <c r="AAY67" s="215"/>
      <c r="AAZ67" s="215"/>
      <c r="ABA67" s="215"/>
      <c r="ABB67" s="215"/>
      <c r="ABC67" s="215"/>
      <c r="ABD67" s="215"/>
      <c r="ABE67" s="215"/>
      <c r="ABF67" s="215"/>
      <c r="ABG67" s="215"/>
      <c r="ABH67" s="215"/>
      <c r="ABI67" s="215"/>
      <c r="ABJ67" s="215"/>
      <c r="ABK67" s="215"/>
      <c r="ABL67" s="215"/>
      <c r="ABM67" s="215"/>
      <c r="ABN67" s="215"/>
      <c r="ABO67" s="215"/>
      <c r="ABP67" s="215"/>
      <c r="ABQ67" s="215"/>
      <c r="ABR67" s="215"/>
      <c r="ABS67" s="215"/>
      <c r="ABT67" s="215"/>
      <c r="ABU67" s="215"/>
      <c r="ABV67" s="215"/>
      <c r="ABW67" s="215"/>
      <c r="ABX67" s="215"/>
      <c r="ABY67" s="215"/>
      <c r="ABZ67" s="215"/>
      <c r="ACA67" s="215"/>
      <c r="ACB67" s="215"/>
      <c r="ACC67" s="215"/>
      <c r="ACD67" s="215"/>
      <c r="ACE67" s="215"/>
      <c r="ACF67" s="215"/>
      <c r="ACG67" s="215"/>
      <c r="ACH67" s="215"/>
      <c r="ACI67" s="215"/>
      <c r="ACJ67" s="215"/>
      <c r="ACK67" s="215"/>
      <c r="ACL67" s="215"/>
      <c r="ACM67" s="215"/>
      <c r="ACN67" s="215"/>
      <c r="ACO67" s="215"/>
      <c r="ACP67" s="215"/>
      <c r="ACQ67" s="215"/>
      <c r="ACR67" s="215"/>
      <c r="ACS67" s="215"/>
      <c r="ACT67" s="215"/>
      <c r="ACU67" s="215"/>
      <c r="ACV67" s="215"/>
      <c r="ACW67" s="215"/>
      <c r="ACX67" s="215"/>
      <c r="ACY67" s="215"/>
      <c r="ACZ67" s="215"/>
      <c r="ADA67" s="215"/>
      <c r="ADB67" s="215"/>
      <c r="ADC67" s="215"/>
      <c r="ADD67" s="215"/>
      <c r="ADE67" s="215"/>
      <c r="ADF67" s="215"/>
      <c r="ADG67" s="215"/>
      <c r="ADH67" s="215"/>
      <c r="ADI67" s="215"/>
      <c r="ADJ67" s="215"/>
      <c r="ADK67" s="215"/>
      <c r="ADL67" s="215"/>
      <c r="ADM67" s="215"/>
      <c r="ADN67" s="215"/>
      <c r="ADO67" s="215"/>
      <c r="ADP67" s="215"/>
      <c r="ADQ67" s="215"/>
      <c r="ADR67" s="215"/>
      <c r="ADS67" s="215"/>
      <c r="ADT67" s="215"/>
      <c r="ADU67" s="215"/>
      <c r="ADV67" s="215"/>
      <c r="ADW67" s="215"/>
      <c r="ADX67" s="215"/>
      <c r="ADY67" s="215"/>
      <c r="ADZ67" s="215"/>
      <c r="AEA67" s="215"/>
      <c r="AEB67" s="215"/>
      <c r="AEC67" s="215"/>
      <c r="AED67" s="215"/>
      <c r="AEE67" s="215"/>
      <c r="AEF67" s="215"/>
      <c r="AEG67" s="215"/>
      <c r="AEH67" s="215"/>
      <c r="AEI67" s="215"/>
      <c r="AEJ67" s="215"/>
      <c r="AEK67" s="215"/>
      <c r="AEL67" s="215"/>
      <c r="AEM67" s="215"/>
      <c r="AEN67" s="215"/>
      <c r="AEO67" s="215"/>
      <c r="AEP67" s="215"/>
      <c r="AEQ67" s="215"/>
      <c r="AER67" s="215"/>
      <c r="AES67" s="215"/>
      <c r="AET67" s="215"/>
      <c r="AEU67" s="215"/>
      <c r="AEV67" s="215"/>
      <c r="AEW67" s="215"/>
      <c r="AEX67" s="215"/>
      <c r="AEY67" s="215"/>
      <c r="AEZ67" s="215"/>
      <c r="AFA67" s="215"/>
      <c r="AFB67" s="215"/>
      <c r="AFC67" s="215"/>
      <c r="AFD67" s="215"/>
      <c r="AFE67" s="215"/>
      <c r="AFF67" s="215"/>
      <c r="AFG67" s="215"/>
      <c r="AFH67" s="215"/>
      <c r="AFI67" s="215"/>
      <c r="AFJ67" s="215"/>
      <c r="AFK67" s="215"/>
      <c r="AFL67" s="215"/>
      <c r="AFM67" s="215"/>
      <c r="AFN67" s="215"/>
      <c r="AFO67" s="215"/>
      <c r="AFP67" s="215"/>
      <c r="AFQ67" s="215"/>
      <c r="AFR67" s="215"/>
      <c r="AFS67" s="215"/>
      <c r="AFT67" s="215"/>
      <c r="AFU67" s="215"/>
      <c r="AFV67" s="215"/>
      <c r="AFW67" s="215"/>
      <c r="AFX67" s="215"/>
      <c r="AFY67" s="215"/>
      <c r="AFZ67" s="215"/>
      <c r="AGA67" s="215"/>
      <c r="AGB67" s="215"/>
      <c r="AGC67" s="215"/>
      <c r="AGD67" s="215"/>
      <c r="AGE67" s="215"/>
      <c r="AGF67" s="215"/>
      <c r="AGG67" s="215"/>
      <c r="AGH67" s="215"/>
      <c r="AGI67" s="215"/>
      <c r="AGJ67" s="215"/>
      <c r="AGK67" s="215"/>
      <c r="AGL67" s="215"/>
      <c r="AGM67" s="215"/>
      <c r="AGN67" s="215"/>
      <c r="AGO67" s="215"/>
      <c r="AGP67" s="215"/>
      <c r="AGQ67" s="215"/>
      <c r="AGR67" s="215"/>
      <c r="AGS67" s="215"/>
      <c r="AGT67" s="215"/>
      <c r="AGU67" s="215"/>
      <c r="AGV67" s="215"/>
      <c r="AGW67" s="215"/>
      <c r="AGX67" s="215"/>
      <c r="AGY67" s="215"/>
      <c r="AGZ67" s="215"/>
      <c r="AHA67" s="215"/>
      <c r="AHB67" s="215"/>
      <c r="AHC67" s="215"/>
      <c r="AHD67" s="215"/>
      <c r="AHE67" s="215"/>
      <c r="AHF67" s="215"/>
      <c r="AHG67" s="215"/>
      <c r="AHH67" s="215"/>
      <c r="AHI67" s="215"/>
      <c r="AHJ67" s="215"/>
      <c r="AHK67" s="215"/>
      <c r="AHL67" s="215"/>
      <c r="AHM67" s="215"/>
      <c r="AHN67" s="215"/>
      <c r="AHO67" s="215"/>
      <c r="AHP67" s="215"/>
      <c r="AHQ67" s="215"/>
      <c r="AHR67" s="215"/>
      <c r="AHS67" s="215"/>
      <c r="AHT67" s="215"/>
      <c r="AHU67" s="215"/>
      <c r="AHV67" s="215"/>
      <c r="AHW67" s="215"/>
      <c r="AHX67" s="215"/>
      <c r="AHY67" s="215"/>
      <c r="AHZ67" s="215"/>
      <c r="AIA67" s="215"/>
      <c r="AIB67" s="215"/>
      <c r="AIC67" s="215"/>
      <c r="AID67" s="215"/>
      <c r="AIE67" s="215"/>
      <c r="AIF67" s="215"/>
      <c r="AIG67" s="215"/>
      <c r="AIH67" s="215"/>
      <c r="AII67" s="215"/>
      <c r="AIJ67" s="215"/>
      <c r="AIK67" s="215"/>
      <c r="AIL67" s="215"/>
      <c r="AIM67" s="215"/>
      <c r="AIN67" s="215"/>
      <c r="AIO67" s="215"/>
      <c r="AIP67" s="215"/>
      <c r="AIQ67" s="215"/>
      <c r="AIR67" s="215"/>
      <c r="AIS67" s="215"/>
      <c r="AIT67" s="215"/>
      <c r="AIU67" s="215"/>
      <c r="AIV67" s="215"/>
      <c r="AIW67" s="215"/>
      <c r="AIX67" s="215"/>
      <c r="AIY67" s="215"/>
      <c r="AIZ67" s="215"/>
      <c r="AJA67" s="215"/>
      <c r="AJB67" s="215"/>
      <c r="AJC67" s="215"/>
    </row>
    <row r="68" spans="1:939" s="237" customFormat="1" ht="169.5" customHeight="1" outlineLevel="1" thickBot="1" x14ac:dyDescent="0.3">
      <c r="A68" s="362">
        <v>40</v>
      </c>
      <c r="B68" s="204" t="s">
        <v>114</v>
      </c>
      <c r="C68" s="205" t="s">
        <v>212</v>
      </c>
      <c r="D68" s="205" t="s">
        <v>8</v>
      </c>
      <c r="E68" s="207"/>
      <c r="F68" s="233"/>
      <c r="G68" s="234"/>
      <c r="H68" s="234"/>
      <c r="I68" s="234"/>
      <c r="J68" s="234"/>
      <c r="K68" s="206" t="s">
        <v>213</v>
      </c>
      <c r="L68" s="206" t="s">
        <v>214</v>
      </c>
      <c r="M68" s="206" t="s">
        <v>51</v>
      </c>
      <c r="N68" s="208">
        <v>2187306400</v>
      </c>
      <c r="O68" s="209">
        <f t="shared" si="9"/>
        <v>5403558.3883001059</v>
      </c>
      <c r="P68" s="208">
        <v>2187306400</v>
      </c>
      <c r="Q68" s="235">
        <v>0.03</v>
      </c>
      <c r="R68" s="209">
        <v>0</v>
      </c>
      <c r="S68" s="209">
        <f>224789707.9+33079263.9+32539928.1</f>
        <v>290408899.90000004</v>
      </c>
      <c r="T68" s="218">
        <f t="shared" si="11"/>
        <v>2187306400</v>
      </c>
      <c r="U68" s="209">
        <f t="shared" si="10"/>
        <v>5403558.3883001059</v>
      </c>
      <c r="V68" s="212" t="s">
        <v>111</v>
      </c>
      <c r="W68" s="236"/>
      <c r="X68" s="214"/>
      <c r="Y68" s="215"/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G68" s="215"/>
      <c r="BH68" s="215"/>
      <c r="BI68" s="215"/>
      <c r="BJ68" s="215"/>
      <c r="BK68" s="215"/>
      <c r="BL68" s="215"/>
      <c r="BM68" s="215"/>
      <c r="BN68" s="215"/>
      <c r="BO68" s="215"/>
      <c r="BP68" s="215"/>
      <c r="BQ68" s="215"/>
      <c r="BR68" s="215"/>
      <c r="BS68" s="215"/>
      <c r="BT68" s="215"/>
      <c r="BU68" s="215"/>
      <c r="BV68" s="215"/>
      <c r="BW68" s="215"/>
      <c r="BX68" s="215"/>
      <c r="BY68" s="215"/>
      <c r="BZ68" s="215"/>
      <c r="CA68" s="215"/>
      <c r="CB68" s="215"/>
      <c r="CC68" s="215"/>
      <c r="CD68" s="215"/>
      <c r="CE68" s="215"/>
      <c r="CF68" s="215"/>
      <c r="CG68" s="215"/>
      <c r="CH68" s="215"/>
      <c r="CI68" s="215"/>
      <c r="CJ68" s="215"/>
      <c r="CK68" s="215"/>
      <c r="CL68" s="215"/>
      <c r="CM68" s="215"/>
      <c r="CN68" s="215"/>
      <c r="CO68" s="215"/>
      <c r="CP68" s="215"/>
      <c r="CQ68" s="215"/>
      <c r="CR68" s="215"/>
      <c r="CS68" s="215"/>
      <c r="CT68" s="215"/>
      <c r="CU68" s="215"/>
      <c r="CV68" s="215"/>
      <c r="CW68" s="215"/>
      <c r="CX68" s="215"/>
      <c r="CY68" s="215"/>
      <c r="CZ68" s="215"/>
      <c r="DA68" s="215"/>
      <c r="DB68" s="215"/>
      <c r="DC68" s="215"/>
      <c r="DD68" s="215"/>
      <c r="DE68" s="215"/>
      <c r="DF68" s="215"/>
      <c r="DG68" s="215"/>
      <c r="DH68" s="215"/>
      <c r="DI68" s="215"/>
      <c r="DJ68" s="215"/>
      <c r="DK68" s="215"/>
      <c r="DL68" s="215"/>
      <c r="DM68" s="215"/>
      <c r="DN68" s="215"/>
      <c r="DO68" s="215"/>
      <c r="DP68" s="215"/>
      <c r="DQ68" s="215"/>
      <c r="DR68" s="215"/>
      <c r="DS68" s="215"/>
      <c r="DT68" s="215"/>
      <c r="DU68" s="215"/>
      <c r="DV68" s="215"/>
      <c r="DW68" s="215"/>
      <c r="DX68" s="215"/>
      <c r="DY68" s="215"/>
      <c r="DZ68" s="215"/>
      <c r="EA68" s="215"/>
      <c r="EB68" s="215"/>
      <c r="EC68" s="215"/>
      <c r="ED68" s="215"/>
      <c r="EE68" s="215"/>
      <c r="EF68" s="215"/>
      <c r="EG68" s="215"/>
      <c r="EH68" s="215"/>
      <c r="EI68" s="215"/>
      <c r="EJ68" s="215"/>
      <c r="EK68" s="215"/>
      <c r="EL68" s="215"/>
      <c r="EM68" s="215"/>
      <c r="EN68" s="215"/>
      <c r="EO68" s="215"/>
      <c r="EP68" s="215"/>
      <c r="EQ68" s="215"/>
      <c r="ER68" s="215"/>
      <c r="ES68" s="215"/>
      <c r="ET68" s="215"/>
      <c r="EU68" s="215"/>
      <c r="EV68" s="215"/>
      <c r="EW68" s="215"/>
      <c r="EX68" s="215"/>
      <c r="EY68" s="215"/>
      <c r="EZ68" s="215"/>
      <c r="FA68" s="215"/>
      <c r="FB68" s="215"/>
      <c r="FC68" s="215"/>
      <c r="FD68" s="215"/>
      <c r="FE68" s="215"/>
      <c r="FF68" s="215"/>
      <c r="FG68" s="215"/>
      <c r="FH68" s="215"/>
      <c r="FI68" s="215"/>
      <c r="FJ68" s="215"/>
      <c r="FK68" s="215"/>
      <c r="FL68" s="215"/>
      <c r="FM68" s="215"/>
      <c r="FN68" s="215"/>
      <c r="FO68" s="215"/>
      <c r="FP68" s="215"/>
      <c r="FQ68" s="215"/>
      <c r="FR68" s="215"/>
      <c r="FS68" s="215"/>
      <c r="FT68" s="215"/>
      <c r="FU68" s="215"/>
      <c r="FV68" s="215"/>
      <c r="FW68" s="215"/>
      <c r="FX68" s="215"/>
      <c r="FY68" s="215"/>
      <c r="FZ68" s="215"/>
      <c r="GA68" s="215"/>
      <c r="GB68" s="215"/>
      <c r="GC68" s="215"/>
      <c r="GD68" s="215"/>
      <c r="GE68" s="215"/>
      <c r="GF68" s="215"/>
      <c r="GG68" s="215"/>
      <c r="GH68" s="215"/>
      <c r="GI68" s="215"/>
      <c r="GJ68" s="215"/>
      <c r="GK68" s="215"/>
      <c r="GL68" s="215"/>
      <c r="GM68" s="215"/>
      <c r="GN68" s="215"/>
      <c r="GO68" s="215"/>
      <c r="GP68" s="215"/>
      <c r="GQ68" s="215"/>
      <c r="GR68" s="215"/>
      <c r="GS68" s="215"/>
      <c r="GT68" s="215"/>
      <c r="GU68" s="215"/>
      <c r="GV68" s="215"/>
      <c r="GW68" s="215"/>
      <c r="GX68" s="215"/>
      <c r="GY68" s="215"/>
      <c r="GZ68" s="215"/>
      <c r="HA68" s="215"/>
      <c r="HB68" s="215"/>
      <c r="HC68" s="215"/>
      <c r="HD68" s="215"/>
      <c r="HE68" s="215"/>
      <c r="HF68" s="215"/>
      <c r="HG68" s="215"/>
      <c r="HH68" s="215"/>
      <c r="HI68" s="215"/>
      <c r="HJ68" s="215"/>
      <c r="HK68" s="215"/>
      <c r="HL68" s="215"/>
      <c r="HM68" s="215"/>
      <c r="HN68" s="215"/>
      <c r="HO68" s="215"/>
      <c r="HP68" s="215"/>
      <c r="HQ68" s="215"/>
      <c r="HR68" s="215"/>
      <c r="HS68" s="215"/>
      <c r="HT68" s="215"/>
      <c r="HU68" s="215"/>
      <c r="HV68" s="215"/>
      <c r="HW68" s="215"/>
      <c r="HX68" s="215"/>
      <c r="HY68" s="215"/>
      <c r="HZ68" s="215"/>
      <c r="IA68" s="215"/>
      <c r="IB68" s="215"/>
      <c r="IC68" s="215"/>
      <c r="ID68" s="215"/>
      <c r="IE68" s="215"/>
      <c r="IF68" s="215"/>
      <c r="IG68" s="215"/>
      <c r="IH68" s="215"/>
      <c r="II68" s="215"/>
      <c r="IJ68" s="215"/>
      <c r="IK68" s="215"/>
      <c r="IL68" s="215"/>
      <c r="IM68" s="215"/>
      <c r="IN68" s="215"/>
      <c r="IO68" s="215"/>
      <c r="IP68" s="215"/>
      <c r="IQ68" s="215"/>
      <c r="IR68" s="215"/>
      <c r="IS68" s="215"/>
      <c r="IT68" s="215"/>
      <c r="IU68" s="215"/>
      <c r="IV68" s="215"/>
      <c r="IW68" s="215"/>
      <c r="IX68" s="215"/>
      <c r="IY68" s="215"/>
      <c r="IZ68" s="215"/>
      <c r="JA68" s="215"/>
      <c r="JB68" s="215"/>
      <c r="JC68" s="215"/>
      <c r="JD68" s="215"/>
      <c r="JE68" s="215"/>
      <c r="JF68" s="215"/>
      <c r="JG68" s="215"/>
      <c r="JH68" s="215"/>
      <c r="JI68" s="215"/>
      <c r="JJ68" s="215"/>
      <c r="JK68" s="215"/>
      <c r="JL68" s="215"/>
      <c r="JM68" s="215"/>
      <c r="JN68" s="215"/>
      <c r="JO68" s="215"/>
      <c r="JP68" s="215"/>
      <c r="JQ68" s="215"/>
      <c r="JR68" s="215"/>
      <c r="JS68" s="215"/>
      <c r="JT68" s="215"/>
      <c r="JU68" s="215"/>
      <c r="JV68" s="215"/>
      <c r="JW68" s="215"/>
      <c r="JX68" s="215"/>
      <c r="JY68" s="215"/>
      <c r="JZ68" s="215"/>
      <c r="KA68" s="215"/>
      <c r="KB68" s="215"/>
      <c r="KC68" s="215"/>
      <c r="KD68" s="215"/>
      <c r="KE68" s="215"/>
      <c r="KF68" s="215"/>
      <c r="KG68" s="215"/>
      <c r="KH68" s="215"/>
      <c r="KI68" s="215"/>
      <c r="KJ68" s="215"/>
      <c r="KK68" s="215"/>
      <c r="KL68" s="215"/>
      <c r="KM68" s="215"/>
      <c r="KN68" s="215"/>
      <c r="KO68" s="215"/>
      <c r="KP68" s="215"/>
      <c r="KQ68" s="215"/>
      <c r="KR68" s="215"/>
      <c r="KS68" s="215"/>
      <c r="KT68" s="215"/>
      <c r="KU68" s="215"/>
      <c r="KV68" s="215"/>
      <c r="KW68" s="215"/>
      <c r="KX68" s="215"/>
      <c r="KY68" s="215"/>
      <c r="KZ68" s="215"/>
      <c r="LA68" s="215"/>
      <c r="LB68" s="215"/>
      <c r="LC68" s="215"/>
      <c r="LD68" s="215"/>
      <c r="LE68" s="215"/>
      <c r="LF68" s="215"/>
      <c r="LG68" s="215"/>
      <c r="LH68" s="215"/>
      <c r="LI68" s="215"/>
      <c r="LJ68" s="215"/>
      <c r="LK68" s="215"/>
      <c r="LL68" s="215"/>
      <c r="LM68" s="215"/>
      <c r="LN68" s="215"/>
      <c r="LO68" s="215"/>
      <c r="LP68" s="215"/>
      <c r="LQ68" s="215"/>
      <c r="LR68" s="215"/>
      <c r="LS68" s="215"/>
      <c r="LT68" s="215"/>
      <c r="LU68" s="215"/>
      <c r="LV68" s="215"/>
      <c r="LW68" s="215"/>
      <c r="LX68" s="215"/>
      <c r="LY68" s="215"/>
      <c r="LZ68" s="215"/>
      <c r="MA68" s="215"/>
      <c r="MB68" s="215"/>
      <c r="MC68" s="215"/>
      <c r="MD68" s="215"/>
      <c r="ME68" s="215"/>
      <c r="MF68" s="215"/>
      <c r="MG68" s="215"/>
      <c r="MH68" s="215"/>
      <c r="MI68" s="215"/>
      <c r="MJ68" s="215"/>
      <c r="MK68" s="215"/>
      <c r="ML68" s="215"/>
      <c r="MM68" s="215"/>
      <c r="MN68" s="215"/>
      <c r="MO68" s="215"/>
      <c r="MP68" s="215"/>
      <c r="MQ68" s="215"/>
      <c r="MR68" s="215"/>
      <c r="MS68" s="215"/>
      <c r="MT68" s="215"/>
      <c r="MU68" s="215"/>
      <c r="MV68" s="215"/>
      <c r="MW68" s="215"/>
      <c r="MX68" s="215"/>
      <c r="MY68" s="215"/>
      <c r="MZ68" s="215"/>
      <c r="NA68" s="215"/>
      <c r="NB68" s="215"/>
      <c r="NC68" s="215"/>
      <c r="ND68" s="215"/>
      <c r="NE68" s="215"/>
      <c r="NF68" s="215"/>
      <c r="NG68" s="215"/>
      <c r="NH68" s="215"/>
      <c r="NI68" s="215"/>
      <c r="NJ68" s="215"/>
      <c r="NK68" s="215"/>
      <c r="NL68" s="215"/>
      <c r="NM68" s="215"/>
      <c r="NN68" s="215"/>
      <c r="NO68" s="215"/>
      <c r="NP68" s="215"/>
      <c r="NQ68" s="215"/>
      <c r="NR68" s="215"/>
      <c r="NS68" s="215"/>
      <c r="NT68" s="215"/>
      <c r="NU68" s="215"/>
      <c r="NV68" s="215"/>
      <c r="NW68" s="215"/>
      <c r="NX68" s="215"/>
      <c r="NY68" s="215"/>
      <c r="NZ68" s="215"/>
      <c r="OA68" s="215"/>
      <c r="OB68" s="215"/>
      <c r="OC68" s="215"/>
      <c r="OD68" s="215"/>
      <c r="OE68" s="215"/>
      <c r="OF68" s="215"/>
      <c r="OG68" s="215"/>
      <c r="OH68" s="215"/>
      <c r="OI68" s="215"/>
      <c r="OJ68" s="215"/>
      <c r="OK68" s="215"/>
      <c r="OL68" s="215"/>
      <c r="OM68" s="215"/>
      <c r="ON68" s="215"/>
      <c r="OO68" s="215"/>
      <c r="OP68" s="215"/>
      <c r="OQ68" s="215"/>
      <c r="OR68" s="215"/>
      <c r="OS68" s="215"/>
      <c r="OT68" s="215"/>
      <c r="OU68" s="215"/>
      <c r="OV68" s="215"/>
      <c r="OW68" s="215"/>
      <c r="OX68" s="215"/>
      <c r="OY68" s="215"/>
      <c r="OZ68" s="215"/>
      <c r="PA68" s="215"/>
      <c r="PB68" s="215"/>
      <c r="PC68" s="215"/>
      <c r="PD68" s="215"/>
      <c r="PE68" s="215"/>
      <c r="PF68" s="215"/>
      <c r="PG68" s="215"/>
      <c r="PH68" s="215"/>
      <c r="PI68" s="215"/>
      <c r="PJ68" s="215"/>
      <c r="PK68" s="215"/>
      <c r="PL68" s="215"/>
      <c r="PM68" s="215"/>
      <c r="PN68" s="215"/>
      <c r="PO68" s="215"/>
      <c r="PP68" s="215"/>
      <c r="PQ68" s="215"/>
      <c r="PR68" s="215"/>
      <c r="PS68" s="215"/>
      <c r="PT68" s="215"/>
      <c r="PU68" s="215"/>
      <c r="PV68" s="215"/>
      <c r="PW68" s="215"/>
      <c r="PX68" s="215"/>
      <c r="PY68" s="215"/>
      <c r="PZ68" s="215"/>
      <c r="QA68" s="215"/>
      <c r="QB68" s="215"/>
      <c r="QC68" s="215"/>
      <c r="QD68" s="215"/>
      <c r="QE68" s="215"/>
      <c r="QF68" s="215"/>
      <c r="QG68" s="215"/>
      <c r="QH68" s="215"/>
      <c r="QI68" s="215"/>
      <c r="QJ68" s="215"/>
      <c r="QK68" s="215"/>
      <c r="QL68" s="215"/>
      <c r="QM68" s="215"/>
      <c r="QN68" s="215"/>
      <c r="QO68" s="215"/>
      <c r="QP68" s="215"/>
      <c r="QQ68" s="215"/>
      <c r="QR68" s="215"/>
      <c r="QS68" s="215"/>
      <c r="QT68" s="215"/>
      <c r="QU68" s="215"/>
      <c r="QV68" s="215"/>
      <c r="QW68" s="215"/>
      <c r="QX68" s="215"/>
      <c r="QY68" s="215"/>
      <c r="QZ68" s="215"/>
      <c r="RA68" s="215"/>
      <c r="RB68" s="215"/>
      <c r="RC68" s="215"/>
      <c r="RD68" s="215"/>
      <c r="RE68" s="215"/>
      <c r="RF68" s="215"/>
      <c r="RG68" s="215"/>
      <c r="RH68" s="215"/>
      <c r="RI68" s="215"/>
      <c r="RJ68" s="215"/>
      <c r="RK68" s="215"/>
      <c r="RL68" s="215"/>
      <c r="RM68" s="215"/>
      <c r="RN68" s="215"/>
      <c r="RO68" s="215"/>
      <c r="RP68" s="215"/>
      <c r="RQ68" s="215"/>
      <c r="RR68" s="215"/>
      <c r="RS68" s="215"/>
      <c r="RT68" s="215"/>
      <c r="RU68" s="215"/>
      <c r="RV68" s="215"/>
      <c r="RW68" s="215"/>
      <c r="RX68" s="215"/>
      <c r="RY68" s="215"/>
      <c r="RZ68" s="215"/>
      <c r="SA68" s="215"/>
      <c r="SB68" s="215"/>
      <c r="SC68" s="215"/>
      <c r="SD68" s="215"/>
      <c r="SE68" s="215"/>
      <c r="SF68" s="215"/>
      <c r="SG68" s="215"/>
      <c r="SH68" s="215"/>
      <c r="SI68" s="215"/>
      <c r="SJ68" s="215"/>
      <c r="SK68" s="215"/>
      <c r="SL68" s="215"/>
      <c r="SM68" s="215"/>
      <c r="SN68" s="215"/>
      <c r="SO68" s="215"/>
      <c r="SP68" s="215"/>
      <c r="SQ68" s="215"/>
      <c r="SR68" s="215"/>
      <c r="SS68" s="215"/>
      <c r="ST68" s="215"/>
      <c r="SU68" s="215"/>
      <c r="SV68" s="215"/>
      <c r="SW68" s="215"/>
      <c r="SX68" s="215"/>
      <c r="SY68" s="215"/>
      <c r="SZ68" s="215"/>
      <c r="TA68" s="215"/>
      <c r="TB68" s="215"/>
      <c r="TC68" s="215"/>
      <c r="TD68" s="215"/>
      <c r="TE68" s="215"/>
      <c r="TF68" s="215"/>
      <c r="TG68" s="215"/>
      <c r="TH68" s="215"/>
      <c r="TI68" s="215"/>
      <c r="TJ68" s="215"/>
      <c r="TK68" s="215"/>
      <c r="TL68" s="215"/>
      <c r="TM68" s="215"/>
      <c r="TN68" s="215"/>
      <c r="TO68" s="215"/>
      <c r="TP68" s="215"/>
      <c r="TQ68" s="215"/>
      <c r="TR68" s="215"/>
      <c r="TS68" s="215"/>
      <c r="TT68" s="215"/>
      <c r="TU68" s="215"/>
      <c r="TV68" s="215"/>
      <c r="TW68" s="215"/>
      <c r="TX68" s="215"/>
      <c r="TY68" s="215"/>
      <c r="TZ68" s="215"/>
      <c r="UA68" s="215"/>
      <c r="UB68" s="215"/>
      <c r="UC68" s="215"/>
      <c r="UD68" s="215"/>
      <c r="UE68" s="215"/>
      <c r="UF68" s="215"/>
      <c r="UG68" s="215"/>
      <c r="UH68" s="215"/>
      <c r="UI68" s="215"/>
      <c r="UJ68" s="215"/>
      <c r="UK68" s="215"/>
      <c r="UL68" s="215"/>
      <c r="UM68" s="215"/>
      <c r="UN68" s="215"/>
      <c r="UO68" s="215"/>
      <c r="UP68" s="215"/>
      <c r="UQ68" s="215"/>
      <c r="UR68" s="215"/>
      <c r="US68" s="215"/>
      <c r="UT68" s="215"/>
      <c r="UU68" s="215"/>
      <c r="UV68" s="215"/>
      <c r="UW68" s="215"/>
      <c r="UX68" s="215"/>
      <c r="UY68" s="215"/>
      <c r="UZ68" s="215"/>
      <c r="VA68" s="215"/>
      <c r="VB68" s="215"/>
      <c r="VC68" s="215"/>
      <c r="VD68" s="215"/>
      <c r="VE68" s="215"/>
      <c r="VF68" s="215"/>
      <c r="VG68" s="215"/>
      <c r="VH68" s="215"/>
      <c r="VI68" s="215"/>
      <c r="VJ68" s="215"/>
      <c r="VK68" s="215"/>
      <c r="VL68" s="215"/>
      <c r="VM68" s="215"/>
      <c r="VN68" s="215"/>
      <c r="VO68" s="215"/>
      <c r="VP68" s="215"/>
      <c r="VQ68" s="215"/>
      <c r="VR68" s="215"/>
      <c r="VS68" s="215"/>
      <c r="VT68" s="215"/>
      <c r="VU68" s="215"/>
      <c r="VV68" s="215"/>
      <c r="VW68" s="215"/>
      <c r="VX68" s="215"/>
      <c r="VY68" s="215"/>
      <c r="VZ68" s="215"/>
      <c r="WA68" s="215"/>
      <c r="WB68" s="215"/>
      <c r="WC68" s="215"/>
      <c r="WD68" s="215"/>
      <c r="WE68" s="215"/>
      <c r="WF68" s="215"/>
      <c r="WG68" s="215"/>
      <c r="WH68" s="215"/>
      <c r="WI68" s="215"/>
      <c r="WJ68" s="215"/>
      <c r="WK68" s="215"/>
      <c r="WL68" s="215"/>
      <c r="WM68" s="215"/>
      <c r="WN68" s="215"/>
      <c r="WO68" s="215"/>
      <c r="WP68" s="215"/>
      <c r="WQ68" s="215"/>
      <c r="WR68" s="215"/>
      <c r="WS68" s="215"/>
      <c r="WT68" s="215"/>
      <c r="WU68" s="215"/>
      <c r="WV68" s="215"/>
      <c r="WW68" s="215"/>
      <c r="WX68" s="215"/>
      <c r="WY68" s="215"/>
      <c r="WZ68" s="215"/>
      <c r="XA68" s="215"/>
      <c r="XB68" s="215"/>
      <c r="XC68" s="215"/>
      <c r="XD68" s="215"/>
      <c r="XE68" s="215"/>
      <c r="XF68" s="215"/>
      <c r="XG68" s="215"/>
      <c r="XH68" s="215"/>
      <c r="XI68" s="215"/>
      <c r="XJ68" s="215"/>
      <c r="XK68" s="215"/>
      <c r="XL68" s="215"/>
      <c r="XM68" s="215"/>
      <c r="XN68" s="215"/>
      <c r="XO68" s="215"/>
      <c r="XP68" s="215"/>
      <c r="XQ68" s="215"/>
      <c r="XR68" s="215"/>
      <c r="XS68" s="215"/>
      <c r="XT68" s="215"/>
      <c r="XU68" s="215"/>
      <c r="XV68" s="215"/>
      <c r="XW68" s="215"/>
      <c r="XX68" s="215"/>
      <c r="XY68" s="215"/>
      <c r="XZ68" s="215"/>
      <c r="YA68" s="215"/>
      <c r="YB68" s="215"/>
      <c r="YC68" s="215"/>
      <c r="YD68" s="215"/>
      <c r="YE68" s="215"/>
      <c r="YF68" s="215"/>
      <c r="YG68" s="215"/>
      <c r="YH68" s="215"/>
      <c r="YI68" s="215"/>
      <c r="YJ68" s="215"/>
      <c r="YK68" s="215"/>
      <c r="YL68" s="215"/>
      <c r="YM68" s="215"/>
      <c r="YN68" s="215"/>
      <c r="YO68" s="215"/>
      <c r="YP68" s="215"/>
      <c r="YQ68" s="215"/>
      <c r="YR68" s="215"/>
      <c r="YS68" s="215"/>
      <c r="YT68" s="215"/>
      <c r="YU68" s="215"/>
      <c r="YV68" s="215"/>
      <c r="YW68" s="215"/>
      <c r="YX68" s="215"/>
      <c r="YY68" s="215"/>
      <c r="YZ68" s="215"/>
      <c r="ZA68" s="215"/>
      <c r="ZB68" s="215"/>
      <c r="ZC68" s="215"/>
      <c r="ZD68" s="215"/>
      <c r="ZE68" s="215"/>
      <c r="ZF68" s="215"/>
      <c r="ZG68" s="215"/>
      <c r="ZH68" s="215"/>
      <c r="ZI68" s="215"/>
      <c r="ZJ68" s="215"/>
      <c r="ZK68" s="215"/>
      <c r="ZL68" s="215"/>
      <c r="ZM68" s="215"/>
      <c r="ZN68" s="215"/>
      <c r="ZO68" s="215"/>
      <c r="ZP68" s="215"/>
      <c r="ZQ68" s="215"/>
      <c r="ZR68" s="215"/>
      <c r="ZS68" s="215"/>
      <c r="ZT68" s="215"/>
      <c r="ZU68" s="215"/>
      <c r="ZV68" s="215"/>
      <c r="ZW68" s="215"/>
      <c r="ZX68" s="215"/>
      <c r="ZY68" s="215"/>
      <c r="ZZ68" s="215"/>
      <c r="AAA68" s="215"/>
      <c r="AAB68" s="215"/>
      <c r="AAC68" s="215"/>
      <c r="AAD68" s="215"/>
      <c r="AAE68" s="215"/>
      <c r="AAF68" s="215"/>
      <c r="AAG68" s="215"/>
      <c r="AAH68" s="215"/>
      <c r="AAI68" s="215"/>
      <c r="AAJ68" s="215"/>
      <c r="AAK68" s="215"/>
      <c r="AAL68" s="215"/>
      <c r="AAM68" s="215"/>
      <c r="AAN68" s="215"/>
      <c r="AAO68" s="215"/>
      <c r="AAP68" s="215"/>
      <c r="AAQ68" s="215"/>
      <c r="AAR68" s="215"/>
      <c r="AAS68" s="215"/>
      <c r="AAT68" s="215"/>
      <c r="AAU68" s="215"/>
      <c r="AAV68" s="215"/>
      <c r="AAW68" s="215"/>
      <c r="AAX68" s="215"/>
      <c r="AAY68" s="215"/>
      <c r="AAZ68" s="215"/>
      <c r="ABA68" s="215"/>
      <c r="ABB68" s="215"/>
      <c r="ABC68" s="215"/>
      <c r="ABD68" s="215"/>
      <c r="ABE68" s="215"/>
      <c r="ABF68" s="215"/>
      <c r="ABG68" s="215"/>
      <c r="ABH68" s="215"/>
      <c r="ABI68" s="215"/>
      <c r="ABJ68" s="215"/>
      <c r="ABK68" s="215"/>
      <c r="ABL68" s="215"/>
      <c r="ABM68" s="215"/>
      <c r="ABN68" s="215"/>
      <c r="ABO68" s="215"/>
      <c r="ABP68" s="215"/>
      <c r="ABQ68" s="215"/>
      <c r="ABR68" s="215"/>
      <c r="ABS68" s="215"/>
      <c r="ABT68" s="215"/>
      <c r="ABU68" s="215"/>
      <c r="ABV68" s="215"/>
      <c r="ABW68" s="215"/>
      <c r="ABX68" s="215"/>
      <c r="ABY68" s="215"/>
      <c r="ABZ68" s="215"/>
      <c r="ACA68" s="215"/>
      <c r="ACB68" s="215"/>
      <c r="ACC68" s="215"/>
      <c r="ACD68" s="215"/>
      <c r="ACE68" s="215"/>
      <c r="ACF68" s="215"/>
      <c r="ACG68" s="215"/>
      <c r="ACH68" s="215"/>
      <c r="ACI68" s="215"/>
      <c r="ACJ68" s="215"/>
      <c r="ACK68" s="215"/>
      <c r="ACL68" s="215"/>
      <c r="ACM68" s="215"/>
      <c r="ACN68" s="215"/>
      <c r="ACO68" s="215"/>
      <c r="ACP68" s="215"/>
      <c r="ACQ68" s="215"/>
      <c r="ACR68" s="215"/>
      <c r="ACS68" s="215"/>
      <c r="ACT68" s="215"/>
      <c r="ACU68" s="215"/>
      <c r="ACV68" s="215"/>
      <c r="ACW68" s="215"/>
      <c r="ACX68" s="215"/>
      <c r="ACY68" s="215"/>
      <c r="ACZ68" s="215"/>
      <c r="ADA68" s="215"/>
      <c r="ADB68" s="215"/>
      <c r="ADC68" s="215"/>
      <c r="ADD68" s="215"/>
      <c r="ADE68" s="215"/>
      <c r="ADF68" s="215"/>
      <c r="ADG68" s="215"/>
      <c r="ADH68" s="215"/>
      <c r="ADI68" s="215"/>
      <c r="ADJ68" s="215"/>
      <c r="ADK68" s="215"/>
      <c r="ADL68" s="215"/>
      <c r="ADM68" s="215"/>
      <c r="ADN68" s="215"/>
      <c r="ADO68" s="215"/>
      <c r="ADP68" s="215"/>
      <c r="ADQ68" s="215"/>
      <c r="ADR68" s="215"/>
      <c r="ADS68" s="215"/>
      <c r="ADT68" s="215"/>
      <c r="ADU68" s="215"/>
      <c r="ADV68" s="215"/>
      <c r="ADW68" s="215"/>
      <c r="ADX68" s="215"/>
      <c r="ADY68" s="215"/>
      <c r="ADZ68" s="215"/>
      <c r="AEA68" s="215"/>
      <c r="AEB68" s="215"/>
      <c r="AEC68" s="215"/>
      <c r="AED68" s="215"/>
      <c r="AEE68" s="215"/>
      <c r="AEF68" s="215"/>
      <c r="AEG68" s="215"/>
      <c r="AEH68" s="215"/>
      <c r="AEI68" s="215"/>
      <c r="AEJ68" s="215"/>
      <c r="AEK68" s="215"/>
      <c r="AEL68" s="215"/>
      <c r="AEM68" s="215"/>
      <c r="AEN68" s="215"/>
      <c r="AEO68" s="215"/>
      <c r="AEP68" s="215"/>
      <c r="AEQ68" s="215"/>
      <c r="AER68" s="215"/>
      <c r="AES68" s="215"/>
      <c r="AET68" s="215"/>
      <c r="AEU68" s="215"/>
      <c r="AEV68" s="215"/>
      <c r="AEW68" s="215"/>
      <c r="AEX68" s="215"/>
      <c r="AEY68" s="215"/>
      <c r="AEZ68" s="215"/>
      <c r="AFA68" s="215"/>
      <c r="AFB68" s="215"/>
      <c r="AFC68" s="215"/>
      <c r="AFD68" s="215"/>
      <c r="AFE68" s="215"/>
      <c r="AFF68" s="215"/>
      <c r="AFG68" s="215"/>
      <c r="AFH68" s="215"/>
      <c r="AFI68" s="215"/>
      <c r="AFJ68" s="215"/>
      <c r="AFK68" s="215"/>
      <c r="AFL68" s="215"/>
      <c r="AFM68" s="215"/>
      <c r="AFN68" s="215"/>
      <c r="AFO68" s="215"/>
      <c r="AFP68" s="215"/>
      <c r="AFQ68" s="215"/>
      <c r="AFR68" s="215"/>
      <c r="AFS68" s="215"/>
      <c r="AFT68" s="215"/>
      <c r="AFU68" s="215"/>
      <c r="AFV68" s="215"/>
      <c r="AFW68" s="215"/>
      <c r="AFX68" s="215"/>
      <c r="AFY68" s="215"/>
      <c r="AFZ68" s="215"/>
      <c r="AGA68" s="215"/>
      <c r="AGB68" s="215"/>
      <c r="AGC68" s="215"/>
      <c r="AGD68" s="215"/>
      <c r="AGE68" s="215"/>
      <c r="AGF68" s="215"/>
      <c r="AGG68" s="215"/>
      <c r="AGH68" s="215"/>
      <c r="AGI68" s="215"/>
      <c r="AGJ68" s="215"/>
      <c r="AGK68" s="215"/>
      <c r="AGL68" s="215"/>
      <c r="AGM68" s="215"/>
      <c r="AGN68" s="215"/>
      <c r="AGO68" s="215"/>
      <c r="AGP68" s="215"/>
      <c r="AGQ68" s="215"/>
      <c r="AGR68" s="215"/>
      <c r="AGS68" s="215"/>
      <c r="AGT68" s="215"/>
      <c r="AGU68" s="215"/>
      <c r="AGV68" s="215"/>
      <c r="AGW68" s="215"/>
      <c r="AGX68" s="215"/>
      <c r="AGY68" s="215"/>
      <c r="AGZ68" s="215"/>
      <c r="AHA68" s="215"/>
      <c r="AHB68" s="215"/>
      <c r="AHC68" s="215"/>
      <c r="AHD68" s="215"/>
      <c r="AHE68" s="215"/>
      <c r="AHF68" s="215"/>
      <c r="AHG68" s="215"/>
      <c r="AHH68" s="215"/>
      <c r="AHI68" s="215"/>
      <c r="AHJ68" s="215"/>
      <c r="AHK68" s="215"/>
      <c r="AHL68" s="215"/>
      <c r="AHM68" s="215"/>
      <c r="AHN68" s="215"/>
      <c r="AHO68" s="215"/>
      <c r="AHP68" s="215"/>
      <c r="AHQ68" s="215"/>
      <c r="AHR68" s="215"/>
      <c r="AHS68" s="215"/>
      <c r="AHT68" s="215"/>
      <c r="AHU68" s="215"/>
      <c r="AHV68" s="215"/>
      <c r="AHW68" s="215"/>
      <c r="AHX68" s="215"/>
      <c r="AHY68" s="215"/>
      <c r="AHZ68" s="215"/>
      <c r="AIA68" s="215"/>
      <c r="AIB68" s="215"/>
      <c r="AIC68" s="215"/>
      <c r="AID68" s="215"/>
      <c r="AIE68" s="215"/>
      <c r="AIF68" s="215"/>
      <c r="AIG68" s="215"/>
      <c r="AIH68" s="215"/>
      <c r="AII68" s="215"/>
      <c r="AIJ68" s="215"/>
      <c r="AIK68" s="215"/>
      <c r="AIL68" s="215"/>
      <c r="AIM68" s="215"/>
      <c r="AIN68" s="215"/>
      <c r="AIO68" s="215"/>
      <c r="AIP68" s="215"/>
      <c r="AIQ68" s="215"/>
      <c r="AIR68" s="215"/>
      <c r="AIS68" s="215"/>
      <c r="AIT68" s="215"/>
      <c r="AIU68" s="215"/>
      <c r="AIV68" s="215"/>
      <c r="AIW68" s="215"/>
      <c r="AIX68" s="215"/>
      <c r="AIY68" s="215"/>
      <c r="AIZ68" s="215"/>
      <c r="AJA68" s="215"/>
      <c r="AJB68" s="215"/>
      <c r="AJC68" s="215"/>
    </row>
    <row r="69" spans="1:939" s="85" customFormat="1" ht="15" customHeight="1" x14ac:dyDescent="0.25">
      <c r="A69" s="431" t="s">
        <v>160</v>
      </c>
      <c r="B69" s="432"/>
      <c r="C69" s="432"/>
      <c r="D69" s="437" t="s">
        <v>30</v>
      </c>
      <c r="E69" s="437"/>
      <c r="F69" s="437"/>
      <c r="G69" s="437"/>
      <c r="H69" s="437"/>
      <c r="I69" s="437"/>
      <c r="J69" s="437"/>
      <c r="K69" s="437"/>
      <c r="L69" s="437"/>
      <c r="M69" s="79"/>
      <c r="N69" s="81">
        <f>SUMIF($M$62:$M$68,D69,$N$62:$N$68)</f>
        <v>3500000</v>
      </c>
      <c r="O69" s="81"/>
      <c r="P69" s="98">
        <f>SUMIF($M$62:$M$68,D69,$P$62:$P$68)</f>
        <v>3500000</v>
      </c>
      <c r="Q69" s="81"/>
      <c r="R69" s="98">
        <f>SUMIF($M$62:$M$68,D69,$R$62:$R$68)</f>
        <v>986000</v>
      </c>
      <c r="S69" s="98">
        <f>SUMIF($M$62:$M$68,D69,$S$62:$S$68)</f>
        <v>449992.92246187496</v>
      </c>
      <c r="T69" s="81">
        <f>SUMIF($M$62:$M$68,D69,$T$62:$T$68)</f>
        <v>2514000</v>
      </c>
      <c r="U69" s="81"/>
      <c r="V69" s="83"/>
      <c r="W69" s="84"/>
      <c r="X69" s="47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  <c r="DD69" s="68"/>
      <c r="DE69" s="68"/>
      <c r="DF69" s="68"/>
      <c r="DG69" s="68"/>
      <c r="DH69" s="68"/>
      <c r="DI69" s="68"/>
      <c r="DJ69" s="68"/>
      <c r="DK69" s="68"/>
      <c r="DL69" s="68"/>
      <c r="DM69" s="68"/>
      <c r="DN69" s="68"/>
      <c r="DO69" s="68"/>
      <c r="DP69" s="68"/>
      <c r="DQ69" s="68"/>
      <c r="DR69" s="68"/>
      <c r="DS69" s="68"/>
      <c r="DT69" s="68"/>
      <c r="DU69" s="68"/>
      <c r="DV69" s="68"/>
      <c r="DW69" s="68"/>
      <c r="DX69" s="68"/>
      <c r="DY69" s="68"/>
      <c r="DZ69" s="68"/>
      <c r="EA69" s="68"/>
      <c r="EB69" s="68"/>
      <c r="EC69" s="68"/>
      <c r="ED69" s="68"/>
      <c r="EE69" s="68"/>
      <c r="EF69" s="68"/>
      <c r="EG69" s="68"/>
      <c r="EH69" s="68"/>
      <c r="EI69" s="68"/>
      <c r="EJ69" s="68"/>
      <c r="EK69" s="68"/>
      <c r="EL69" s="68"/>
      <c r="EM69" s="68"/>
      <c r="EN69" s="68"/>
      <c r="EO69" s="68"/>
      <c r="EP69" s="68"/>
      <c r="EQ69" s="68"/>
      <c r="ER69" s="68"/>
      <c r="ES69" s="68"/>
      <c r="ET69" s="68"/>
      <c r="EU69" s="68"/>
      <c r="EV69" s="68"/>
      <c r="EW69" s="68"/>
      <c r="EX69" s="68"/>
      <c r="EY69" s="68"/>
      <c r="EZ69" s="68"/>
      <c r="FA69" s="68"/>
      <c r="FB69" s="68"/>
      <c r="FC69" s="68"/>
      <c r="FD69" s="68"/>
      <c r="FE69" s="68"/>
      <c r="FF69" s="68"/>
      <c r="FG69" s="68"/>
      <c r="FH69" s="68"/>
      <c r="FI69" s="68"/>
      <c r="FJ69" s="68"/>
      <c r="FK69" s="68"/>
      <c r="FL69" s="68"/>
      <c r="FM69" s="68"/>
      <c r="FN69" s="68"/>
      <c r="FO69" s="68"/>
      <c r="FP69" s="68"/>
      <c r="FQ69" s="68"/>
      <c r="FR69" s="68"/>
      <c r="FS69" s="68"/>
      <c r="FT69" s="68"/>
      <c r="FU69" s="68"/>
      <c r="FV69" s="68"/>
      <c r="FW69" s="68"/>
      <c r="FX69" s="68"/>
      <c r="FY69" s="68"/>
      <c r="FZ69" s="68"/>
      <c r="GA69" s="68"/>
      <c r="GB69" s="68"/>
      <c r="GC69" s="68"/>
      <c r="GD69" s="68"/>
      <c r="GE69" s="68"/>
      <c r="GF69" s="68"/>
      <c r="GG69" s="68"/>
      <c r="GH69" s="68"/>
      <c r="GI69" s="68"/>
      <c r="GJ69" s="68"/>
      <c r="GK69" s="68"/>
      <c r="GL69" s="68"/>
      <c r="GM69" s="68"/>
      <c r="GN69" s="68"/>
      <c r="GO69" s="68"/>
      <c r="GP69" s="68"/>
      <c r="GQ69" s="68"/>
      <c r="GR69" s="68"/>
      <c r="GS69" s="68"/>
      <c r="GT69" s="68"/>
      <c r="GU69" s="68"/>
      <c r="GV69" s="68"/>
      <c r="GW69" s="68"/>
      <c r="GX69" s="68"/>
      <c r="GY69" s="68"/>
      <c r="GZ69" s="68"/>
      <c r="HA69" s="68"/>
      <c r="HB69" s="68"/>
      <c r="HC69" s="68"/>
      <c r="HD69" s="68"/>
      <c r="HE69" s="68"/>
      <c r="HF69" s="68"/>
      <c r="HG69" s="68"/>
      <c r="HH69" s="68"/>
      <c r="HI69" s="68"/>
      <c r="HJ69" s="68"/>
      <c r="HK69" s="68"/>
      <c r="HL69" s="68"/>
      <c r="HM69" s="68"/>
      <c r="HN69" s="68"/>
      <c r="HO69" s="68"/>
      <c r="HP69" s="68"/>
      <c r="HQ69" s="68"/>
      <c r="HR69" s="68"/>
      <c r="HS69" s="68"/>
      <c r="HT69" s="68"/>
      <c r="HU69" s="68"/>
      <c r="HV69" s="68"/>
      <c r="HW69" s="68"/>
      <c r="HX69" s="68"/>
      <c r="HY69" s="68"/>
      <c r="HZ69" s="68"/>
      <c r="IA69" s="68"/>
      <c r="IB69" s="68"/>
      <c r="IC69" s="68"/>
      <c r="ID69" s="68"/>
      <c r="IE69" s="68"/>
      <c r="IF69" s="68"/>
      <c r="IG69" s="68"/>
      <c r="IH69" s="68"/>
      <c r="II69" s="68"/>
      <c r="IJ69" s="68"/>
      <c r="IK69" s="68"/>
      <c r="IL69" s="68"/>
      <c r="IM69" s="68"/>
      <c r="IN69" s="68"/>
      <c r="IO69" s="68"/>
      <c r="IP69" s="68"/>
      <c r="IQ69" s="68"/>
      <c r="IR69" s="68"/>
      <c r="IS69" s="68"/>
      <c r="IT69" s="68"/>
      <c r="IU69" s="68"/>
      <c r="IV69" s="68"/>
      <c r="IW69" s="68"/>
      <c r="IX69" s="68"/>
      <c r="IY69" s="68"/>
      <c r="IZ69" s="68"/>
      <c r="JA69" s="68"/>
      <c r="JB69" s="68"/>
      <c r="JC69" s="68"/>
      <c r="JD69" s="68"/>
      <c r="JE69" s="68"/>
      <c r="JF69" s="68"/>
      <c r="JG69" s="68"/>
      <c r="JH69" s="68"/>
      <c r="JI69" s="68"/>
      <c r="JJ69" s="68"/>
      <c r="JK69" s="68"/>
      <c r="JL69" s="68"/>
      <c r="JM69" s="68"/>
      <c r="JN69" s="68"/>
      <c r="JO69" s="68"/>
      <c r="JP69" s="68"/>
      <c r="JQ69" s="68"/>
      <c r="JR69" s="68"/>
      <c r="JS69" s="68"/>
      <c r="JT69" s="68"/>
      <c r="JU69" s="68"/>
      <c r="JV69" s="68"/>
      <c r="JW69" s="68"/>
      <c r="JX69" s="68"/>
      <c r="JY69" s="68"/>
      <c r="JZ69" s="68"/>
      <c r="KA69" s="68"/>
      <c r="KB69" s="68"/>
      <c r="KC69" s="68"/>
      <c r="KD69" s="68"/>
      <c r="KE69" s="68"/>
      <c r="KF69" s="68"/>
      <c r="KG69" s="68"/>
      <c r="KH69" s="68"/>
      <c r="KI69" s="68"/>
      <c r="KJ69" s="68"/>
      <c r="KK69" s="68"/>
      <c r="KL69" s="68"/>
      <c r="KM69" s="68"/>
      <c r="KN69" s="68"/>
      <c r="KO69" s="68"/>
      <c r="KP69" s="68"/>
      <c r="KQ69" s="68"/>
      <c r="KR69" s="68"/>
      <c r="KS69" s="68"/>
      <c r="KT69" s="68"/>
      <c r="KU69" s="68"/>
      <c r="KV69" s="68"/>
      <c r="KW69" s="68"/>
      <c r="KX69" s="68"/>
      <c r="KY69" s="68"/>
      <c r="KZ69" s="68"/>
      <c r="LA69" s="68"/>
      <c r="LB69" s="68"/>
      <c r="LC69" s="68"/>
      <c r="LD69" s="68"/>
      <c r="LE69" s="68"/>
      <c r="LF69" s="68"/>
      <c r="LG69" s="68"/>
      <c r="LH69" s="68"/>
      <c r="LI69" s="68"/>
      <c r="LJ69" s="68"/>
      <c r="LK69" s="68"/>
      <c r="LL69" s="68"/>
      <c r="LM69" s="68"/>
      <c r="LN69" s="68"/>
      <c r="LO69" s="68"/>
      <c r="LP69" s="68"/>
      <c r="LQ69" s="68"/>
      <c r="LR69" s="68"/>
      <c r="LS69" s="68"/>
      <c r="LT69" s="68"/>
      <c r="LU69" s="68"/>
      <c r="LV69" s="68"/>
      <c r="LW69" s="68"/>
      <c r="LX69" s="68"/>
      <c r="LY69" s="68"/>
      <c r="LZ69" s="68"/>
      <c r="MA69" s="68"/>
      <c r="MB69" s="68"/>
      <c r="MC69" s="68"/>
      <c r="MD69" s="68"/>
      <c r="ME69" s="68"/>
      <c r="MF69" s="68"/>
      <c r="MG69" s="68"/>
      <c r="MH69" s="68"/>
      <c r="MI69" s="68"/>
      <c r="MJ69" s="68"/>
      <c r="MK69" s="68"/>
      <c r="ML69" s="68"/>
      <c r="MM69" s="68"/>
      <c r="MN69" s="68"/>
      <c r="MO69" s="68"/>
      <c r="MP69" s="68"/>
      <c r="MQ69" s="68"/>
      <c r="MR69" s="68"/>
      <c r="MS69" s="68"/>
      <c r="MT69" s="68"/>
      <c r="MU69" s="68"/>
      <c r="MV69" s="68"/>
      <c r="MW69" s="68"/>
      <c r="MX69" s="68"/>
      <c r="MY69" s="68"/>
      <c r="MZ69" s="68"/>
      <c r="NA69" s="68"/>
      <c r="NB69" s="68"/>
      <c r="NC69" s="68"/>
      <c r="ND69" s="68"/>
      <c r="NE69" s="68"/>
      <c r="NF69" s="68"/>
      <c r="NG69" s="68"/>
      <c r="NH69" s="68"/>
      <c r="NI69" s="68"/>
      <c r="NJ69" s="68"/>
      <c r="NK69" s="68"/>
      <c r="NL69" s="68"/>
      <c r="NM69" s="68"/>
      <c r="NN69" s="68"/>
      <c r="NO69" s="68"/>
      <c r="NP69" s="68"/>
      <c r="NQ69" s="68"/>
      <c r="NR69" s="68"/>
      <c r="NS69" s="68"/>
      <c r="NT69" s="68"/>
      <c r="NU69" s="68"/>
      <c r="NV69" s="68"/>
      <c r="NW69" s="68"/>
      <c r="NX69" s="68"/>
      <c r="NY69" s="68"/>
      <c r="NZ69" s="68"/>
      <c r="OA69" s="68"/>
      <c r="OB69" s="68"/>
      <c r="OC69" s="68"/>
      <c r="OD69" s="68"/>
      <c r="OE69" s="68"/>
      <c r="OF69" s="68"/>
      <c r="OG69" s="68"/>
      <c r="OH69" s="68"/>
      <c r="OI69" s="68"/>
      <c r="OJ69" s="68"/>
      <c r="OK69" s="68"/>
      <c r="OL69" s="68"/>
      <c r="OM69" s="68"/>
      <c r="ON69" s="68"/>
      <c r="OO69" s="68"/>
      <c r="OP69" s="68"/>
      <c r="OQ69" s="68"/>
      <c r="OR69" s="68"/>
      <c r="OS69" s="68"/>
      <c r="OT69" s="68"/>
      <c r="OU69" s="68"/>
      <c r="OV69" s="68"/>
      <c r="OW69" s="68"/>
      <c r="OX69" s="68"/>
      <c r="OY69" s="68"/>
      <c r="OZ69" s="68"/>
      <c r="PA69" s="68"/>
      <c r="PB69" s="68"/>
      <c r="PC69" s="68"/>
      <c r="PD69" s="68"/>
      <c r="PE69" s="68"/>
      <c r="PF69" s="68"/>
      <c r="PG69" s="68"/>
      <c r="PH69" s="68"/>
      <c r="PI69" s="68"/>
      <c r="PJ69" s="68"/>
      <c r="PK69" s="68"/>
      <c r="PL69" s="68"/>
      <c r="PM69" s="68"/>
      <c r="PN69" s="68"/>
      <c r="PO69" s="68"/>
      <c r="PP69" s="68"/>
      <c r="PQ69" s="68"/>
      <c r="PR69" s="68"/>
      <c r="PS69" s="68"/>
      <c r="PT69" s="68"/>
      <c r="PU69" s="68"/>
      <c r="PV69" s="68"/>
      <c r="PW69" s="68"/>
      <c r="PX69" s="68"/>
      <c r="PY69" s="68"/>
      <c r="PZ69" s="68"/>
      <c r="QA69" s="68"/>
      <c r="QB69" s="68"/>
      <c r="QC69" s="68"/>
      <c r="QD69" s="68"/>
      <c r="QE69" s="68"/>
      <c r="QF69" s="68"/>
      <c r="QG69" s="68"/>
      <c r="QH69" s="68"/>
      <c r="QI69" s="68"/>
      <c r="QJ69" s="68"/>
      <c r="QK69" s="68"/>
      <c r="QL69" s="68"/>
      <c r="QM69" s="68"/>
      <c r="QN69" s="68"/>
      <c r="QO69" s="68"/>
      <c r="QP69" s="68"/>
      <c r="QQ69" s="68"/>
      <c r="QR69" s="68"/>
      <c r="QS69" s="68"/>
      <c r="QT69" s="68"/>
      <c r="QU69" s="68"/>
      <c r="QV69" s="68"/>
      <c r="QW69" s="68"/>
      <c r="QX69" s="68"/>
      <c r="QY69" s="68"/>
      <c r="QZ69" s="68"/>
      <c r="RA69" s="68"/>
      <c r="RB69" s="68"/>
      <c r="RC69" s="68"/>
      <c r="RD69" s="68"/>
      <c r="RE69" s="68"/>
      <c r="RF69" s="68"/>
      <c r="RG69" s="68"/>
      <c r="RH69" s="68"/>
      <c r="RI69" s="68"/>
      <c r="RJ69" s="68"/>
      <c r="RK69" s="68"/>
      <c r="RL69" s="68"/>
      <c r="RM69" s="68"/>
      <c r="RN69" s="68"/>
      <c r="RO69" s="68"/>
      <c r="RP69" s="68"/>
      <c r="RQ69" s="68"/>
      <c r="RR69" s="68"/>
      <c r="RS69" s="68"/>
      <c r="RT69" s="68"/>
      <c r="RU69" s="68"/>
      <c r="RV69" s="68"/>
      <c r="RW69" s="68"/>
      <c r="RX69" s="68"/>
      <c r="RY69" s="68"/>
      <c r="RZ69" s="68"/>
      <c r="SA69" s="68"/>
      <c r="SB69" s="68"/>
      <c r="SC69" s="68"/>
      <c r="SD69" s="68"/>
      <c r="SE69" s="68"/>
      <c r="SF69" s="68"/>
      <c r="SG69" s="68"/>
      <c r="SH69" s="68"/>
      <c r="SI69" s="68"/>
      <c r="SJ69" s="68"/>
      <c r="SK69" s="68"/>
      <c r="SL69" s="68"/>
      <c r="SM69" s="68"/>
      <c r="SN69" s="68"/>
      <c r="SO69" s="68"/>
      <c r="SP69" s="68"/>
      <c r="SQ69" s="68"/>
      <c r="SR69" s="68"/>
      <c r="SS69" s="68"/>
      <c r="ST69" s="68"/>
      <c r="SU69" s="68"/>
      <c r="SV69" s="68"/>
      <c r="SW69" s="68"/>
      <c r="SX69" s="68"/>
      <c r="SY69" s="68"/>
      <c r="SZ69" s="68"/>
      <c r="TA69" s="68"/>
      <c r="TB69" s="68"/>
      <c r="TC69" s="68"/>
      <c r="TD69" s="68"/>
      <c r="TE69" s="68"/>
      <c r="TF69" s="68"/>
      <c r="TG69" s="68"/>
      <c r="TH69" s="68"/>
      <c r="TI69" s="68"/>
      <c r="TJ69" s="68"/>
      <c r="TK69" s="68"/>
      <c r="TL69" s="68"/>
      <c r="TM69" s="68"/>
      <c r="TN69" s="68"/>
      <c r="TO69" s="68"/>
      <c r="TP69" s="68"/>
      <c r="TQ69" s="68"/>
      <c r="TR69" s="68"/>
      <c r="TS69" s="68"/>
      <c r="TT69" s="68"/>
      <c r="TU69" s="68"/>
      <c r="TV69" s="68"/>
      <c r="TW69" s="68"/>
      <c r="TX69" s="68"/>
      <c r="TY69" s="68"/>
      <c r="TZ69" s="68"/>
      <c r="UA69" s="68"/>
      <c r="UB69" s="68"/>
      <c r="UC69" s="68"/>
      <c r="UD69" s="68"/>
      <c r="UE69" s="68"/>
      <c r="UF69" s="68"/>
      <c r="UG69" s="68"/>
      <c r="UH69" s="68"/>
      <c r="UI69" s="68"/>
      <c r="UJ69" s="68"/>
      <c r="UK69" s="68"/>
      <c r="UL69" s="68"/>
      <c r="UM69" s="68"/>
      <c r="UN69" s="68"/>
      <c r="UO69" s="68"/>
      <c r="UP69" s="68"/>
      <c r="UQ69" s="68"/>
      <c r="UR69" s="68"/>
      <c r="US69" s="68"/>
      <c r="UT69" s="68"/>
      <c r="UU69" s="68"/>
      <c r="UV69" s="68"/>
      <c r="UW69" s="68"/>
      <c r="UX69" s="68"/>
      <c r="UY69" s="68"/>
      <c r="UZ69" s="68"/>
      <c r="VA69" s="68"/>
      <c r="VB69" s="68"/>
      <c r="VC69" s="68"/>
      <c r="VD69" s="68"/>
      <c r="VE69" s="68"/>
      <c r="VF69" s="68"/>
      <c r="VG69" s="68"/>
      <c r="VH69" s="68"/>
      <c r="VI69" s="68"/>
      <c r="VJ69" s="68"/>
      <c r="VK69" s="68"/>
      <c r="VL69" s="68"/>
      <c r="VM69" s="68"/>
      <c r="VN69" s="68"/>
      <c r="VO69" s="68"/>
      <c r="VP69" s="68"/>
      <c r="VQ69" s="68"/>
      <c r="VR69" s="68"/>
      <c r="VS69" s="68"/>
      <c r="VT69" s="68"/>
      <c r="VU69" s="68"/>
      <c r="VV69" s="68"/>
      <c r="VW69" s="68"/>
      <c r="VX69" s="68"/>
      <c r="VY69" s="68"/>
      <c r="VZ69" s="68"/>
      <c r="WA69" s="68"/>
      <c r="WB69" s="68"/>
      <c r="WC69" s="68"/>
      <c r="WD69" s="68"/>
      <c r="WE69" s="68"/>
      <c r="WF69" s="68"/>
      <c r="WG69" s="68"/>
      <c r="WH69" s="68"/>
      <c r="WI69" s="68"/>
      <c r="WJ69" s="68"/>
      <c r="WK69" s="68"/>
      <c r="WL69" s="68"/>
      <c r="WM69" s="68"/>
      <c r="WN69" s="68"/>
      <c r="WO69" s="68"/>
      <c r="WP69" s="68"/>
      <c r="WQ69" s="68"/>
      <c r="WR69" s="68"/>
      <c r="WS69" s="68"/>
      <c r="WT69" s="68"/>
      <c r="WU69" s="68"/>
      <c r="WV69" s="68"/>
      <c r="WW69" s="68"/>
      <c r="WX69" s="68"/>
      <c r="WY69" s="68"/>
      <c r="WZ69" s="68"/>
      <c r="XA69" s="68"/>
      <c r="XB69" s="68"/>
      <c r="XC69" s="68"/>
      <c r="XD69" s="68"/>
      <c r="XE69" s="68"/>
      <c r="XF69" s="68"/>
      <c r="XG69" s="68"/>
      <c r="XH69" s="68"/>
      <c r="XI69" s="68"/>
      <c r="XJ69" s="68"/>
      <c r="XK69" s="68"/>
      <c r="XL69" s="68"/>
      <c r="XM69" s="68"/>
      <c r="XN69" s="68"/>
      <c r="XO69" s="68"/>
      <c r="XP69" s="68"/>
      <c r="XQ69" s="68"/>
      <c r="XR69" s="68"/>
      <c r="XS69" s="68"/>
      <c r="XT69" s="68"/>
      <c r="XU69" s="68"/>
      <c r="XV69" s="68"/>
      <c r="XW69" s="68"/>
      <c r="XX69" s="68"/>
      <c r="XY69" s="68"/>
      <c r="XZ69" s="68"/>
      <c r="YA69" s="68"/>
      <c r="YB69" s="68"/>
      <c r="YC69" s="68"/>
      <c r="YD69" s="68"/>
      <c r="YE69" s="68"/>
      <c r="YF69" s="68"/>
      <c r="YG69" s="68"/>
      <c r="YH69" s="68"/>
      <c r="YI69" s="68"/>
      <c r="YJ69" s="68"/>
      <c r="YK69" s="68"/>
      <c r="YL69" s="68"/>
      <c r="YM69" s="68"/>
      <c r="YN69" s="68"/>
      <c r="YO69" s="68"/>
      <c r="YP69" s="68"/>
      <c r="YQ69" s="68"/>
      <c r="YR69" s="68"/>
      <c r="YS69" s="68"/>
      <c r="YT69" s="68"/>
      <c r="YU69" s="68"/>
      <c r="YV69" s="68"/>
      <c r="YW69" s="68"/>
      <c r="YX69" s="68"/>
      <c r="YY69" s="68"/>
      <c r="YZ69" s="68"/>
      <c r="ZA69" s="68"/>
      <c r="ZB69" s="68"/>
      <c r="ZC69" s="68"/>
      <c r="ZD69" s="68"/>
      <c r="ZE69" s="68"/>
      <c r="ZF69" s="68"/>
      <c r="ZG69" s="68"/>
      <c r="ZH69" s="68"/>
      <c r="ZI69" s="68"/>
      <c r="ZJ69" s="68"/>
      <c r="ZK69" s="68"/>
      <c r="ZL69" s="68"/>
      <c r="ZM69" s="68"/>
      <c r="ZN69" s="68"/>
      <c r="ZO69" s="68"/>
      <c r="ZP69" s="68"/>
      <c r="ZQ69" s="68"/>
      <c r="ZR69" s="68"/>
      <c r="ZS69" s="68"/>
      <c r="ZT69" s="68"/>
      <c r="ZU69" s="68"/>
      <c r="ZV69" s="68"/>
      <c r="ZW69" s="68"/>
      <c r="ZX69" s="68"/>
      <c r="ZY69" s="68"/>
      <c r="ZZ69" s="68"/>
      <c r="AAA69" s="68"/>
      <c r="AAB69" s="68"/>
      <c r="AAC69" s="68"/>
      <c r="AAD69" s="68"/>
      <c r="AAE69" s="68"/>
      <c r="AAF69" s="68"/>
      <c r="AAG69" s="68"/>
      <c r="AAH69" s="68"/>
      <c r="AAI69" s="68"/>
      <c r="AAJ69" s="68"/>
      <c r="AAK69" s="68"/>
      <c r="AAL69" s="68"/>
      <c r="AAM69" s="68"/>
      <c r="AAN69" s="68"/>
      <c r="AAO69" s="68"/>
      <c r="AAP69" s="68"/>
      <c r="AAQ69" s="68"/>
      <c r="AAR69" s="68"/>
      <c r="AAS69" s="68"/>
      <c r="AAT69" s="68"/>
      <c r="AAU69" s="68"/>
      <c r="AAV69" s="68"/>
      <c r="AAW69" s="68"/>
      <c r="AAX69" s="68"/>
      <c r="AAY69" s="68"/>
      <c r="AAZ69" s="68"/>
      <c r="ABA69" s="68"/>
      <c r="ABB69" s="68"/>
      <c r="ABC69" s="68"/>
      <c r="ABD69" s="68"/>
      <c r="ABE69" s="68"/>
      <c r="ABF69" s="68"/>
      <c r="ABG69" s="68"/>
      <c r="ABH69" s="68"/>
      <c r="ABI69" s="68"/>
      <c r="ABJ69" s="68"/>
      <c r="ABK69" s="68"/>
      <c r="ABL69" s="68"/>
      <c r="ABM69" s="68"/>
      <c r="ABN69" s="68"/>
      <c r="ABO69" s="68"/>
      <c r="ABP69" s="68"/>
      <c r="ABQ69" s="68"/>
      <c r="ABR69" s="68"/>
      <c r="ABS69" s="68"/>
      <c r="ABT69" s="68"/>
      <c r="ABU69" s="68"/>
      <c r="ABV69" s="68"/>
      <c r="ABW69" s="68"/>
      <c r="ABX69" s="68"/>
      <c r="ABY69" s="68"/>
      <c r="ABZ69" s="68"/>
      <c r="ACA69" s="68"/>
      <c r="ACB69" s="68"/>
      <c r="ACC69" s="68"/>
      <c r="ACD69" s="68"/>
      <c r="ACE69" s="68"/>
      <c r="ACF69" s="68"/>
      <c r="ACG69" s="68"/>
      <c r="ACH69" s="68"/>
      <c r="ACI69" s="68"/>
      <c r="ACJ69" s="68"/>
      <c r="ACK69" s="68"/>
      <c r="ACL69" s="68"/>
      <c r="ACM69" s="68"/>
      <c r="ACN69" s="68"/>
      <c r="ACO69" s="68"/>
      <c r="ACP69" s="68"/>
      <c r="ACQ69" s="68"/>
      <c r="ACR69" s="68"/>
      <c r="ACS69" s="68"/>
      <c r="ACT69" s="68"/>
      <c r="ACU69" s="68"/>
      <c r="ACV69" s="68"/>
      <c r="ACW69" s="68"/>
      <c r="ACX69" s="68"/>
      <c r="ACY69" s="68"/>
      <c r="ACZ69" s="68"/>
      <c r="ADA69" s="68"/>
      <c r="ADB69" s="68"/>
      <c r="ADC69" s="68"/>
      <c r="ADD69" s="68"/>
      <c r="ADE69" s="68"/>
      <c r="ADF69" s="68"/>
      <c r="ADG69" s="68"/>
      <c r="ADH69" s="68"/>
      <c r="ADI69" s="68"/>
      <c r="ADJ69" s="68"/>
      <c r="ADK69" s="68"/>
      <c r="ADL69" s="68"/>
      <c r="ADM69" s="68"/>
      <c r="ADN69" s="68"/>
      <c r="ADO69" s="68"/>
      <c r="ADP69" s="68"/>
      <c r="ADQ69" s="68"/>
      <c r="ADR69" s="68"/>
      <c r="ADS69" s="68"/>
      <c r="ADT69" s="68"/>
      <c r="ADU69" s="68"/>
      <c r="ADV69" s="68"/>
      <c r="ADW69" s="68"/>
      <c r="ADX69" s="68"/>
      <c r="ADY69" s="68"/>
      <c r="ADZ69" s="68"/>
      <c r="AEA69" s="68"/>
      <c r="AEB69" s="68"/>
      <c r="AEC69" s="68"/>
      <c r="AED69" s="68"/>
      <c r="AEE69" s="68"/>
      <c r="AEF69" s="68"/>
      <c r="AEG69" s="68"/>
      <c r="AEH69" s="68"/>
      <c r="AEI69" s="68"/>
      <c r="AEJ69" s="68"/>
      <c r="AEK69" s="68"/>
      <c r="AEL69" s="68"/>
      <c r="AEM69" s="68"/>
      <c r="AEN69" s="68"/>
      <c r="AEO69" s="68"/>
      <c r="AEP69" s="68"/>
      <c r="AEQ69" s="68"/>
      <c r="AER69" s="68"/>
      <c r="AES69" s="68"/>
      <c r="AET69" s="68"/>
      <c r="AEU69" s="68"/>
      <c r="AEV69" s="68"/>
      <c r="AEW69" s="68"/>
      <c r="AEX69" s="68"/>
      <c r="AEY69" s="68"/>
      <c r="AEZ69" s="68"/>
      <c r="AFA69" s="68"/>
      <c r="AFB69" s="68"/>
      <c r="AFC69" s="68"/>
      <c r="AFD69" s="68"/>
      <c r="AFE69" s="68"/>
      <c r="AFF69" s="68"/>
      <c r="AFG69" s="68"/>
      <c r="AFH69" s="68"/>
      <c r="AFI69" s="68"/>
      <c r="AFJ69" s="68"/>
      <c r="AFK69" s="68"/>
      <c r="AFL69" s="68"/>
      <c r="AFM69" s="68"/>
      <c r="AFN69" s="68"/>
      <c r="AFO69" s="68"/>
      <c r="AFP69" s="68"/>
      <c r="AFQ69" s="68"/>
      <c r="AFR69" s="68"/>
      <c r="AFS69" s="68"/>
      <c r="AFT69" s="68"/>
      <c r="AFU69" s="68"/>
      <c r="AFV69" s="68"/>
      <c r="AFW69" s="68"/>
      <c r="AFX69" s="68"/>
      <c r="AFY69" s="68"/>
      <c r="AFZ69" s="68"/>
      <c r="AGA69" s="68"/>
      <c r="AGB69" s="68"/>
      <c r="AGC69" s="68"/>
      <c r="AGD69" s="68"/>
      <c r="AGE69" s="68"/>
      <c r="AGF69" s="68"/>
      <c r="AGG69" s="68"/>
      <c r="AGH69" s="68"/>
      <c r="AGI69" s="68"/>
      <c r="AGJ69" s="68"/>
      <c r="AGK69" s="68"/>
      <c r="AGL69" s="68"/>
      <c r="AGM69" s="68"/>
      <c r="AGN69" s="68"/>
      <c r="AGO69" s="68"/>
      <c r="AGP69" s="68"/>
      <c r="AGQ69" s="68"/>
      <c r="AGR69" s="68"/>
      <c r="AGS69" s="68"/>
      <c r="AGT69" s="68"/>
      <c r="AGU69" s="68"/>
      <c r="AGV69" s="68"/>
      <c r="AGW69" s="68"/>
      <c r="AGX69" s="68"/>
      <c r="AGY69" s="68"/>
      <c r="AGZ69" s="68"/>
      <c r="AHA69" s="68"/>
      <c r="AHB69" s="68"/>
      <c r="AHC69" s="68"/>
      <c r="AHD69" s="68"/>
      <c r="AHE69" s="68"/>
      <c r="AHF69" s="68"/>
      <c r="AHG69" s="68"/>
      <c r="AHH69" s="68"/>
      <c r="AHI69" s="68"/>
      <c r="AHJ69" s="68"/>
      <c r="AHK69" s="68"/>
      <c r="AHL69" s="68"/>
      <c r="AHM69" s="68"/>
      <c r="AHN69" s="68"/>
      <c r="AHO69" s="68"/>
      <c r="AHP69" s="68"/>
      <c r="AHQ69" s="68"/>
      <c r="AHR69" s="68"/>
      <c r="AHS69" s="68"/>
      <c r="AHT69" s="68"/>
      <c r="AHU69" s="68"/>
      <c r="AHV69" s="68"/>
      <c r="AHW69" s="68"/>
      <c r="AHX69" s="68"/>
      <c r="AHY69" s="68"/>
      <c r="AHZ69" s="68"/>
      <c r="AIA69" s="68"/>
      <c r="AIB69" s="68"/>
      <c r="AIC69" s="68"/>
      <c r="AID69" s="68"/>
      <c r="AIE69" s="68"/>
      <c r="AIF69" s="68"/>
      <c r="AIG69" s="68"/>
      <c r="AIH69" s="68"/>
      <c r="AII69" s="68"/>
      <c r="AIJ69" s="68"/>
      <c r="AIK69" s="68"/>
      <c r="AIL69" s="68"/>
      <c r="AIM69" s="68"/>
      <c r="AIN69" s="68"/>
      <c r="AIO69" s="68"/>
      <c r="AIP69" s="68"/>
      <c r="AIQ69" s="68"/>
      <c r="AIR69" s="68"/>
      <c r="AIS69" s="68"/>
      <c r="AIT69" s="68"/>
      <c r="AIU69" s="68"/>
      <c r="AIV69" s="68"/>
      <c r="AIW69" s="68"/>
      <c r="AIX69" s="68"/>
      <c r="AIY69" s="68"/>
      <c r="AIZ69" s="68"/>
      <c r="AJA69" s="68"/>
      <c r="AJB69" s="68"/>
      <c r="AJC69" s="68"/>
    </row>
    <row r="70" spans="1:939" s="85" customFormat="1" ht="15" customHeight="1" x14ac:dyDescent="0.25">
      <c r="A70" s="433"/>
      <c r="B70" s="434"/>
      <c r="C70" s="434"/>
      <c r="D70" s="438" t="s">
        <v>51</v>
      </c>
      <c r="E70" s="438"/>
      <c r="F70" s="438"/>
      <c r="G70" s="438"/>
      <c r="H70" s="438"/>
      <c r="I70" s="438"/>
      <c r="J70" s="438"/>
      <c r="K70" s="438"/>
      <c r="L70" s="438"/>
      <c r="M70" s="86"/>
      <c r="N70" s="87">
        <f>SUMIF($M$62:$M$68,D70,$N$62:$N$68)</f>
        <v>80315196700</v>
      </c>
      <c r="O70" s="87"/>
      <c r="P70" s="88">
        <f>SUMIF($M$62:$M$68,D70,$P$62:$P$68)</f>
        <v>80315196700</v>
      </c>
      <c r="Q70" s="87"/>
      <c r="R70" s="88">
        <f>SUMIF($M$62:$M$68,D70,$R$62:$R$68)</f>
        <v>65615967714.800018</v>
      </c>
      <c r="S70" s="88">
        <f>SUMIF($M$62:$M$68,D70,$S$62:$S$68)</f>
        <v>28723142673.970005</v>
      </c>
      <c r="T70" s="87">
        <f>SUMIF($M$62:$M$68,D70,$T$62:$T$68)</f>
        <v>14699228985.19998</v>
      </c>
      <c r="U70" s="87"/>
      <c r="V70" s="89"/>
      <c r="W70" s="90"/>
      <c r="X70" s="47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  <c r="DD70" s="68"/>
      <c r="DE70" s="68"/>
      <c r="DF70" s="68"/>
      <c r="DG70" s="68"/>
      <c r="DH70" s="68"/>
      <c r="DI70" s="68"/>
      <c r="DJ70" s="68"/>
      <c r="DK70" s="68"/>
      <c r="DL70" s="68"/>
      <c r="DM70" s="68"/>
      <c r="DN70" s="68"/>
      <c r="DO70" s="68"/>
      <c r="DP70" s="68"/>
      <c r="DQ70" s="68"/>
      <c r="DR70" s="68"/>
      <c r="DS70" s="68"/>
      <c r="DT70" s="68"/>
      <c r="DU70" s="68"/>
      <c r="DV70" s="68"/>
      <c r="DW70" s="68"/>
      <c r="DX70" s="68"/>
      <c r="DY70" s="68"/>
      <c r="DZ70" s="68"/>
      <c r="EA70" s="68"/>
      <c r="EB70" s="68"/>
      <c r="EC70" s="68"/>
      <c r="ED70" s="68"/>
      <c r="EE70" s="68"/>
      <c r="EF70" s="68"/>
      <c r="EG70" s="68"/>
      <c r="EH70" s="68"/>
      <c r="EI70" s="68"/>
      <c r="EJ70" s="68"/>
      <c r="EK70" s="68"/>
      <c r="EL70" s="68"/>
      <c r="EM70" s="68"/>
      <c r="EN70" s="68"/>
      <c r="EO70" s="68"/>
      <c r="EP70" s="68"/>
      <c r="EQ70" s="68"/>
      <c r="ER70" s="68"/>
      <c r="ES70" s="68"/>
      <c r="ET70" s="68"/>
      <c r="EU70" s="68"/>
      <c r="EV70" s="68"/>
      <c r="EW70" s="68"/>
      <c r="EX70" s="68"/>
      <c r="EY70" s="68"/>
      <c r="EZ70" s="68"/>
      <c r="FA70" s="68"/>
      <c r="FB70" s="68"/>
      <c r="FC70" s="68"/>
      <c r="FD70" s="68"/>
      <c r="FE70" s="68"/>
      <c r="FF70" s="68"/>
      <c r="FG70" s="68"/>
      <c r="FH70" s="68"/>
      <c r="FI70" s="68"/>
      <c r="FJ70" s="68"/>
      <c r="FK70" s="68"/>
      <c r="FL70" s="68"/>
      <c r="FM70" s="68"/>
      <c r="FN70" s="68"/>
      <c r="FO70" s="68"/>
      <c r="FP70" s="68"/>
      <c r="FQ70" s="68"/>
      <c r="FR70" s="68"/>
      <c r="FS70" s="68"/>
      <c r="FT70" s="68"/>
      <c r="FU70" s="68"/>
      <c r="FV70" s="68"/>
      <c r="FW70" s="68"/>
      <c r="FX70" s="68"/>
      <c r="FY70" s="68"/>
      <c r="FZ70" s="68"/>
      <c r="GA70" s="68"/>
      <c r="GB70" s="68"/>
      <c r="GC70" s="68"/>
      <c r="GD70" s="68"/>
      <c r="GE70" s="68"/>
      <c r="GF70" s="68"/>
      <c r="GG70" s="68"/>
      <c r="GH70" s="68"/>
      <c r="GI70" s="68"/>
      <c r="GJ70" s="68"/>
      <c r="GK70" s="68"/>
      <c r="GL70" s="68"/>
      <c r="GM70" s="68"/>
      <c r="GN70" s="68"/>
      <c r="GO70" s="68"/>
      <c r="GP70" s="68"/>
      <c r="GQ70" s="68"/>
      <c r="GR70" s="68"/>
      <c r="GS70" s="68"/>
      <c r="GT70" s="68"/>
      <c r="GU70" s="68"/>
      <c r="GV70" s="68"/>
      <c r="GW70" s="68"/>
      <c r="GX70" s="68"/>
      <c r="GY70" s="68"/>
      <c r="GZ70" s="68"/>
      <c r="HA70" s="68"/>
      <c r="HB70" s="68"/>
      <c r="HC70" s="68"/>
      <c r="HD70" s="68"/>
      <c r="HE70" s="68"/>
      <c r="HF70" s="68"/>
      <c r="HG70" s="68"/>
      <c r="HH70" s="68"/>
      <c r="HI70" s="68"/>
      <c r="HJ70" s="68"/>
      <c r="HK70" s="68"/>
      <c r="HL70" s="68"/>
      <c r="HM70" s="68"/>
      <c r="HN70" s="68"/>
      <c r="HO70" s="68"/>
      <c r="HP70" s="68"/>
      <c r="HQ70" s="68"/>
      <c r="HR70" s="68"/>
      <c r="HS70" s="68"/>
      <c r="HT70" s="68"/>
      <c r="HU70" s="68"/>
      <c r="HV70" s="68"/>
      <c r="HW70" s="68"/>
      <c r="HX70" s="68"/>
      <c r="HY70" s="68"/>
      <c r="HZ70" s="68"/>
      <c r="IA70" s="68"/>
      <c r="IB70" s="68"/>
      <c r="IC70" s="68"/>
      <c r="ID70" s="68"/>
      <c r="IE70" s="68"/>
      <c r="IF70" s="68"/>
      <c r="IG70" s="68"/>
      <c r="IH70" s="68"/>
      <c r="II70" s="68"/>
      <c r="IJ70" s="68"/>
      <c r="IK70" s="68"/>
      <c r="IL70" s="68"/>
      <c r="IM70" s="68"/>
      <c r="IN70" s="68"/>
      <c r="IO70" s="68"/>
      <c r="IP70" s="68"/>
      <c r="IQ70" s="68"/>
      <c r="IR70" s="68"/>
      <c r="IS70" s="68"/>
      <c r="IT70" s="68"/>
      <c r="IU70" s="68"/>
      <c r="IV70" s="68"/>
      <c r="IW70" s="68"/>
      <c r="IX70" s="68"/>
      <c r="IY70" s="68"/>
      <c r="IZ70" s="68"/>
      <c r="JA70" s="68"/>
      <c r="JB70" s="68"/>
      <c r="JC70" s="68"/>
      <c r="JD70" s="68"/>
      <c r="JE70" s="68"/>
      <c r="JF70" s="68"/>
      <c r="JG70" s="68"/>
      <c r="JH70" s="68"/>
      <c r="JI70" s="68"/>
      <c r="JJ70" s="68"/>
      <c r="JK70" s="68"/>
      <c r="JL70" s="68"/>
      <c r="JM70" s="68"/>
      <c r="JN70" s="68"/>
      <c r="JO70" s="68"/>
      <c r="JP70" s="68"/>
      <c r="JQ70" s="68"/>
      <c r="JR70" s="68"/>
      <c r="JS70" s="68"/>
      <c r="JT70" s="68"/>
      <c r="JU70" s="68"/>
      <c r="JV70" s="68"/>
      <c r="JW70" s="68"/>
      <c r="JX70" s="68"/>
      <c r="JY70" s="68"/>
      <c r="JZ70" s="68"/>
      <c r="KA70" s="68"/>
      <c r="KB70" s="68"/>
      <c r="KC70" s="68"/>
      <c r="KD70" s="68"/>
      <c r="KE70" s="68"/>
      <c r="KF70" s="68"/>
      <c r="KG70" s="68"/>
      <c r="KH70" s="68"/>
      <c r="KI70" s="68"/>
      <c r="KJ70" s="68"/>
      <c r="KK70" s="68"/>
      <c r="KL70" s="68"/>
      <c r="KM70" s="68"/>
      <c r="KN70" s="68"/>
      <c r="KO70" s="68"/>
      <c r="KP70" s="68"/>
      <c r="KQ70" s="68"/>
      <c r="KR70" s="68"/>
      <c r="KS70" s="68"/>
      <c r="KT70" s="68"/>
      <c r="KU70" s="68"/>
      <c r="KV70" s="68"/>
      <c r="KW70" s="68"/>
      <c r="KX70" s="68"/>
      <c r="KY70" s="68"/>
      <c r="KZ70" s="68"/>
      <c r="LA70" s="68"/>
      <c r="LB70" s="68"/>
      <c r="LC70" s="68"/>
      <c r="LD70" s="68"/>
      <c r="LE70" s="68"/>
      <c r="LF70" s="68"/>
      <c r="LG70" s="68"/>
      <c r="LH70" s="68"/>
      <c r="LI70" s="68"/>
      <c r="LJ70" s="68"/>
      <c r="LK70" s="68"/>
      <c r="LL70" s="68"/>
      <c r="LM70" s="68"/>
      <c r="LN70" s="68"/>
      <c r="LO70" s="68"/>
      <c r="LP70" s="68"/>
      <c r="LQ70" s="68"/>
      <c r="LR70" s="68"/>
      <c r="LS70" s="68"/>
      <c r="LT70" s="68"/>
      <c r="LU70" s="68"/>
      <c r="LV70" s="68"/>
      <c r="LW70" s="68"/>
      <c r="LX70" s="68"/>
      <c r="LY70" s="68"/>
      <c r="LZ70" s="68"/>
      <c r="MA70" s="68"/>
      <c r="MB70" s="68"/>
      <c r="MC70" s="68"/>
      <c r="MD70" s="68"/>
      <c r="ME70" s="68"/>
      <c r="MF70" s="68"/>
      <c r="MG70" s="68"/>
      <c r="MH70" s="68"/>
      <c r="MI70" s="68"/>
      <c r="MJ70" s="68"/>
      <c r="MK70" s="68"/>
      <c r="ML70" s="68"/>
      <c r="MM70" s="68"/>
      <c r="MN70" s="68"/>
      <c r="MO70" s="68"/>
      <c r="MP70" s="68"/>
      <c r="MQ70" s="68"/>
      <c r="MR70" s="68"/>
      <c r="MS70" s="68"/>
      <c r="MT70" s="68"/>
      <c r="MU70" s="68"/>
      <c r="MV70" s="68"/>
      <c r="MW70" s="68"/>
      <c r="MX70" s="68"/>
      <c r="MY70" s="68"/>
      <c r="MZ70" s="68"/>
      <c r="NA70" s="68"/>
      <c r="NB70" s="68"/>
      <c r="NC70" s="68"/>
      <c r="ND70" s="68"/>
      <c r="NE70" s="68"/>
      <c r="NF70" s="68"/>
      <c r="NG70" s="68"/>
      <c r="NH70" s="68"/>
      <c r="NI70" s="68"/>
      <c r="NJ70" s="68"/>
      <c r="NK70" s="68"/>
      <c r="NL70" s="68"/>
      <c r="NM70" s="68"/>
      <c r="NN70" s="68"/>
      <c r="NO70" s="68"/>
      <c r="NP70" s="68"/>
      <c r="NQ70" s="68"/>
      <c r="NR70" s="68"/>
      <c r="NS70" s="68"/>
      <c r="NT70" s="68"/>
      <c r="NU70" s="68"/>
      <c r="NV70" s="68"/>
      <c r="NW70" s="68"/>
      <c r="NX70" s="68"/>
      <c r="NY70" s="68"/>
      <c r="NZ70" s="68"/>
      <c r="OA70" s="68"/>
      <c r="OB70" s="68"/>
      <c r="OC70" s="68"/>
      <c r="OD70" s="68"/>
      <c r="OE70" s="68"/>
      <c r="OF70" s="68"/>
      <c r="OG70" s="68"/>
      <c r="OH70" s="68"/>
      <c r="OI70" s="68"/>
      <c r="OJ70" s="68"/>
      <c r="OK70" s="68"/>
      <c r="OL70" s="68"/>
      <c r="OM70" s="68"/>
      <c r="ON70" s="68"/>
      <c r="OO70" s="68"/>
      <c r="OP70" s="68"/>
      <c r="OQ70" s="68"/>
      <c r="OR70" s="68"/>
      <c r="OS70" s="68"/>
      <c r="OT70" s="68"/>
      <c r="OU70" s="68"/>
      <c r="OV70" s="68"/>
      <c r="OW70" s="68"/>
      <c r="OX70" s="68"/>
      <c r="OY70" s="68"/>
      <c r="OZ70" s="68"/>
      <c r="PA70" s="68"/>
      <c r="PB70" s="68"/>
      <c r="PC70" s="68"/>
      <c r="PD70" s="68"/>
      <c r="PE70" s="68"/>
      <c r="PF70" s="68"/>
      <c r="PG70" s="68"/>
      <c r="PH70" s="68"/>
      <c r="PI70" s="68"/>
      <c r="PJ70" s="68"/>
      <c r="PK70" s="68"/>
      <c r="PL70" s="68"/>
      <c r="PM70" s="68"/>
      <c r="PN70" s="68"/>
      <c r="PO70" s="68"/>
      <c r="PP70" s="68"/>
      <c r="PQ70" s="68"/>
      <c r="PR70" s="68"/>
      <c r="PS70" s="68"/>
      <c r="PT70" s="68"/>
      <c r="PU70" s="68"/>
      <c r="PV70" s="68"/>
      <c r="PW70" s="68"/>
      <c r="PX70" s="68"/>
      <c r="PY70" s="68"/>
      <c r="PZ70" s="68"/>
      <c r="QA70" s="68"/>
      <c r="QB70" s="68"/>
      <c r="QC70" s="68"/>
      <c r="QD70" s="68"/>
      <c r="QE70" s="68"/>
      <c r="QF70" s="68"/>
      <c r="QG70" s="68"/>
      <c r="QH70" s="68"/>
      <c r="QI70" s="68"/>
      <c r="QJ70" s="68"/>
      <c r="QK70" s="68"/>
      <c r="QL70" s="68"/>
      <c r="QM70" s="68"/>
      <c r="QN70" s="68"/>
      <c r="QO70" s="68"/>
      <c r="QP70" s="68"/>
      <c r="QQ70" s="68"/>
      <c r="QR70" s="68"/>
      <c r="QS70" s="68"/>
      <c r="QT70" s="68"/>
      <c r="QU70" s="68"/>
      <c r="QV70" s="68"/>
      <c r="QW70" s="68"/>
      <c r="QX70" s="68"/>
      <c r="QY70" s="68"/>
      <c r="QZ70" s="68"/>
      <c r="RA70" s="68"/>
      <c r="RB70" s="68"/>
      <c r="RC70" s="68"/>
      <c r="RD70" s="68"/>
      <c r="RE70" s="68"/>
      <c r="RF70" s="68"/>
      <c r="RG70" s="68"/>
      <c r="RH70" s="68"/>
      <c r="RI70" s="68"/>
      <c r="RJ70" s="68"/>
      <c r="RK70" s="68"/>
      <c r="RL70" s="68"/>
      <c r="RM70" s="68"/>
      <c r="RN70" s="68"/>
      <c r="RO70" s="68"/>
      <c r="RP70" s="68"/>
      <c r="RQ70" s="68"/>
      <c r="RR70" s="68"/>
      <c r="RS70" s="68"/>
      <c r="RT70" s="68"/>
      <c r="RU70" s="68"/>
      <c r="RV70" s="68"/>
      <c r="RW70" s="68"/>
      <c r="RX70" s="68"/>
      <c r="RY70" s="68"/>
      <c r="RZ70" s="68"/>
      <c r="SA70" s="68"/>
      <c r="SB70" s="68"/>
      <c r="SC70" s="68"/>
      <c r="SD70" s="68"/>
      <c r="SE70" s="68"/>
      <c r="SF70" s="68"/>
      <c r="SG70" s="68"/>
      <c r="SH70" s="68"/>
      <c r="SI70" s="68"/>
      <c r="SJ70" s="68"/>
      <c r="SK70" s="68"/>
      <c r="SL70" s="68"/>
      <c r="SM70" s="68"/>
      <c r="SN70" s="68"/>
      <c r="SO70" s="68"/>
      <c r="SP70" s="68"/>
      <c r="SQ70" s="68"/>
      <c r="SR70" s="68"/>
      <c r="SS70" s="68"/>
      <c r="ST70" s="68"/>
      <c r="SU70" s="68"/>
      <c r="SV70" s="68"/>
      <c r="SW70" s="68"/>
      <c r="SX70" s="68"/>
      <c r="SY70" s="68"/>
      <c r="SZ70" s="68"/>
      <c r="TA70" s="68"/>
      <c r="TB70" s="68"/>
      <c r="TC70" s="68"/>
      <c r="TD70" s="68"/>
      <c r="TE70" s="68"/>
      <c r="TF70" s="68"/>
      <c r="TG70" s="68"/>
      <c r="TH70" s="68"/>
      <c r="TI70" s="68"/>
      <c r="TJ70" s="68"/>
      <c r="TK70" s="68"/>
      <c r="TL70" s="68"/>
      <c r="TM70" s="68"/>
      <c r="TN70" s="68"/>
      <c r="TO70" s="68"/>
      <c r="TP70" s="68"/>
      <c r="TQ70" s="68"/>
      <c r="TR70" s="68"/>
      <c r="TS70" s="68"/>
      <c r="TT70" s="68"/>
      <c r="TU70" s="68"/>
      <c r="TV70" s="68"/>
      <c r="TW70" s="68"/>
      <c r="TX70" s="68"/>
      <c r="TY70" s="68"/>
      <c r="TZ70" s="68"/>
      <c r="UA70" s="68"/>
      <c r="UB70" s="68"/>
      <c r="UC70" s="68"/>
      <c r="UD70" s="68"/>
      <c r="UE70" s="68"/>
      <c r="UF70" s="68"/>
      <c r="UG70" s="68"/>
      <c r="UH70" s="68"/>
      <c r="UI70" s="68"/>
      <c r="UJ70" s="68"/>
      <c r="UK70" s="68"/>
      <c r="UL70" s="68"/>
      <c r="UM70" s="68"/>
      <c r="UN70" s="68"/>
      <c r="UO70" s="68"/>
      <c r="UP70" s="68"/>
      <c r="UQ70" s="68"/>
      <c r="UR70" s="68"/>
      <c r="US70" s="68"/>
      <c r="UT70" s="68"/>
      <c r="UU70" s="68"/>
      <c r="UV70" s="68"/>
      <c r="UW70" s="68"/>
      <c r="UX70" s="68"/>
      <c r="UY70" s="68"/>
      <c r="UZ70" s="68"/>
      <c r="VA70" s="68"/>
      <c r="VB70" s="68"/>
      <c r="VC70" s="68"/>
      <c r="VD70" s="68"/>
      <c r="VE70" s="68"/>
      <c r="VF70" s="68"/>
      <c r="VG70" s="68"/>
      <c r="VH70" s="68"/>
      <c r="VI70" s="68"/>
      <c r="VJ70" s="68"/>
      <c r="VK70" s="68"/>
      <c r="VL70" s="68"/>
      <c r="VM70" s="68"/>
      <c r="VN70" s="68"/>
      <c r="VO70" s="68"/>
      <c r="VP70" s="68"/>
      <c r="VQ70" s="68"/>
      <c r="VR70" s="68"/>
      <c r="VS70" s="68"/>
      <c r="VT70" s="68"/>
      <c r="VU70" s="68"/>
      <c r="VV70" s="68"/>
      <c r="VW70" s="68"/>
      <c r="VX70" s="68"/>
      <c r="VY70" s="68"/>
      <c r="VZ70" s="68"/>
      <c r="WA70" s="68"/>
      <c r="WB70" s="68"/>
      <c r="WC70" s="68"/>
      <c r="WD70" s="68"/>
      <c r="WE70" s="68"/>
      <c r="WF70" s="68"/>
      <c r="WG70" s="68"/>
      <c r="WH70" s="68"/>
      <c r="WI70" s="68"/>
      <c r="WJ70" s="68"/>
      <c r="WK70" s="68"/>
      <c r="WL70" s="68"/>
      <c r="WM70" s="68"/>
      <c r="WN70" s="68"/>
      <c r="WO70" s="68"/>
      <c r="WP70" s="68"/>
      <c r="WQ70" s="68"/>
      <c r="WR70" s="68"/>
      <c r="WS70" s="68"/>
      <c r="WT70" s="68"/>
      <c r="WU70" s="68"/>
      <c r="WV70" s="68"/>
      <c r="WW70" s="68"/>
      <c r="WX70" s="68"/>
      <c r="WY70" s="68"/>
      <c r="WZ70" s="68"/>
      <c r="XA70" s="68"/>
      <c r="XB70" s="68"/>
      <c r="XC70" s="68"/>
      <c r="XD70" s="68"/>
      <c r="XE70" s="68"/>
      <c r="XF70" s="68"/>
      <c r="XG70" s="68"/>
      <c r="XH70" s="68"/>
      <c r="XI70" s="68"/>
      <c r="XJ70" s="68"/>
      <c r="XK70" s="68"/>
      <c r="XL70" s="68"/>
      <c r="XM70" s="68"/>
      <c r="XN70" s="68"/>
      <c r="XO70" s="68"/>
      <c r="XP70" s="68"/>
      <c r="XQ70" s="68"/>
      <c r="XR70" s="68"/>
      <c r="XS70" s="68"/>
      <c r="XT70" s="68"/>
      <c r="XU70" s="68"/>
      <c r="XV70" s="68"/>
      <c r="XW70" s="68"/>
      <c r="XX70" s="68"/>
      <c r="XY70" s="68"/>
      <c r="XZ70" s="68"/>
      <c r="YA70" s="68"/>
      <c r="YB70" s="68"/>
      <c r="YC70" s="68"/>
      <c r="YD70" s="68"/>
      <c r="YE70" s="68"/>
      <c r="YF70" s="68"/>
      <c r="YG70" s="68"/>
      <c r="YH70" s="68"/>
      <c r="YI70" s="68"/>
      <c r="YJ70" s="68"/>
      <c r="YK70" s="68"/>
      <c r="YL70" s="68"/>
      <c r="YM70" s="68"/>
      <c r="YN70" s="68"/>
      <c r="YO70" s="68"/>
      <c r="YP70" s="68"/>
      <c r="YQ70" s="68"/>
      <c r="YR70" s="68"/>
      <c r="YS70" s="68"/>
      <c r="YT70" s="68"/>
      <c r="YU70" s="68"/>
      <c r="YV70" s="68"/>
      <c r="YW70" s="68"/>
      <c r="YX70" s="68"/>
      <c r="YY70" s="68"/>
      <c r="YZ70" s="68"/>
      <c r="ZA70" s="68"/>
      <c r="ZB70" s="68"/>
      <c r="ZC70" s="68"/>
      <c r="ZD70" s="68"/>
      <c r="ZE70" s="68"/>
      <c r="ZF70" s="68"/>
      <c r="ZG70" s="68"/>
      <c r="ZH70" s="68"/>
      <c r="ZI70" s="68"/>
      <c r="ZJ70" s="68"/>
      <c r="ZK70" s="68"/>
      <c r="ZL70" s="68"/>
      <c r="ZM70" s="68"/>
      <c r="ZN70" s="68"/>
      <c r="ZO70" s="68"/>
      <c r="ZP70" s="68"/>
      <c r="ZQ70" s="68"/>
      <c r="ZR70" s="68"/>
      <c r="ZS70" s="68"/>
      <c r="ZT70" s="68"/>
      <c r="ZU70" s="68"/>
      <c r="ZV70" s="68"/>
      <c r="ZW70" s="68"/>
      <c r="ZX70" s="68"/>
      <c r="ZY70" s="68"/>
      <c r="ZZ70" s="68"/>
      <c r="AAA70" s="68"/>
      <c r="AAB70" s="68"/>
      <c r="AAC70" s="68"/>
      <c r="AAD70" s="68"/>
      <c r="AAE70" s="68"/>
      <c r="AAF70" s="68"/>
      <c r="AAG70" s="68"/>
      <c r="AAH70" s="68"/>
      <c r="AAI70" s="68"/>
      <c r="AAJ70" s="68"/>
      <c r="AAK70" s="68"/>
      <c r="AAL70" s="68"/>
      <c r="AAM70" s="68"/>
      <c r="AAN70" s="68"/>
      <c r="AAO70" s="68"/>
      <c r="AAP70" s="68"/>
      <c r="AAQ70" s="68"/>
      <c r="AAR70" s="68"/>
      <c r="AAS70" s="68"/>
      <c r="AAT70" s="68"/>
      <c r="AAU70" s="68"/>
      <c r="AAV70" s="68"/>
      <c r="AAW70" s="68"/>
      <c r="AAX70" s="68"/>
      <c r="AAY70" s="68"/>
      <c r="AAZ70" s="68"/>
      <c r="ABA70" s="68"/>
      <c r="ABB70" s="68"/>
      <c r="ABC70" s="68"/>
      <c r="ABD70" s="68"/>
      <c r="ABE70" s="68"/>
      <c r="ABF70" s="68"/>
      <c r="ABG70" s="68"/>
      <c r="ABH70" s="68"/>
      <c r="ABI70" s="68"/>
      <c r="ABJ70" s="68"/>
      <c r="ABK70" s="68"/>
      <c r="ABL70" s="68"/>
      <c r="ABM70" s="68"/>
      <c r="ABN70" s="68"/>
      <c r="ABO70" s="68"/>
      <c r="ABP70" s="68"/>
      <c r="ABQ70" s="68"/>
      <c r="ABR70" s="68"/>
      <c r="ABS70" s="68"/>
      <c r="ABT70" s="68"/>
      <c r="ABU70" s="68"/>
      <c r="ABV70" s="68"/>
      <c r="ABW70" s="68"/>
      <c r="ABX70" s="68"/>
      <c r="ABY70" s="68"/>
      <c r="ABZ70" s="68"/>
      <c r="ACA70" s="68"/>
      <c r="ACB70" s="68"/>
      <c r="ACC70" s="68"/>
      <c r="ACD70" s="68"/>
      <c r="ACE70" s="68"/>
      <c r="ACF70" s="68"/>
      <c r="ACG70" s="68"/>
      <c r="ACH70" s="68"/>
      <c r="ACI70" s="68"/>
      <c r="ACJ70" s="68"/>
      <c r="ACK70" s="68"/>
      <c r="ACL70" s="68"/>
      <c r="ACM70" s="68"/>
      <c r="ACN70" s="68"/>
      <c r="ACO70" s="68"/>
      <c r="ACP70" s="68"/>
      <c r="ACQ70" s="68"/>
      <c r="ACR70" s="68"/>
      <c r="ACS70" s="68"/>
      <c r="ACT70" s="68"/>
      <c r="ACU70" s="68"/>
      <c r="ACV70" s="68"/>
      <c r="ACW70" s="68"/>
      <c r="ACX70" s="68"/>
      <c r="ACY70" s="68"/>
      <c r="ACZ70" s="68"/>
      <c r="ADA70" s="68"/>
      <c r="ADB70" s="68"/>
      <c r="ADC70" s="68"/>
      <c r="ADD70" s="68"/>
      <c r="ADE70" s="68"/>
      <c r="ADF70" s="68"/>
      <c r="ADG70" s="68"/>
      <c r="ADH70" s="68"/>
      <c r="ADI70" s="68"/>
      <c r="ADJ70" s="68"/>
      <c r="ADK70" s="68"/>
      <c r="ADL70" s="68"/>
      <c r="ADM70" s="68"/>
      <c r="ADN70" s="68"/>
      <c r="ADO70" s="68"/>
      <c r="ADP70" s="68"/>
      <c r="ADQ70" s="68"/>
      <c r="ADR70" s="68"/>
      <c r="ADS70" s="68"/>
      <c r="ADT70" s="68"/>
      <c r="ADU70" s="68"/>
      <c r="ADV70" s="68"/>
      <c r="ADW70" s="68"/>
      <c r="ADX70" s="68"/>
      <c r="ADY70" s="68"/>
      <c r="ADZ70" s="68"/>
      <c r="AEA70" s="68"/>
      <c r="AEB70" s="68"/>
      <c r="AEC70" s="68"/>
      <c r="AED70" s="68"/>
      <c r="AEE70" s="68"/>
      <c r="AEF70" s="68"/>
      <c r="AEG70" s="68"/>
      <c r="AEH70" s="68"/>
      <c r="AEI70" s="68"/>
      <c r="AEJ70" s="68"/>
      <c r="AEK70" s="68"/>
      <c r="AEL70" s="68"/>
      <c r="AEM70" s="68"/>
      <c r="AEN70" s="68"/>
      <c r="AEO70" s="68"/>
      <c r="AEP70" s="68"/>
      <c r="AEQ70" s="68"/>
      <c r="AER70" s="68"/>
      <c r="AES70" s="68"/>
      <c r="AET70" s="68"/>
      <c r="AEU70" s="68"/>
      <c r="AEV70" s="68"/>
      <c r="AEW70" s="68"/>
      <c r="AEX70" s="68"/>
      <c r="AEY70" s="68"/>
      <c r="AEZ70" s="68"/>
      <c r="AFA70" s="68"/>
      <c r="AFB70" s="68"/>
      <c r="AFC70" s="68"/>
      <c r="AFD70" s="68"/>
      <c r="AFE70" s="68"/>
      <c r="AFF70" s="68"/>
      <c r="AFG70" s="68"/>
      <c r="AFH70" s="68"/>
      <c r="AFI70" s="68"/>
      <c r="AFJ70" s="68"/>
      <c r="AFK70" s="68"/>
      <c r="AFL70" s="68"/>
      <c r="AFM70" s="68"/>
      <c r="AFN70" s="68"/>
      <c r="AFO70" s="68"/>
      <c r="AFP70" s="68"/>
      <c r="AFQ70" s="68"/>
      <c r="AFR70" s="68"/>
      <c r="AFS70" s="68"/>
      <c r="AFT70" s="68"/>
      <c r="AFU70" s="68"/>
      <c r="AFV70" s="68"/>
      <c r="AFW70" s="68"/>
      <c r="AFX70" s="68"/>
      <c r="AFY70" s="68"/>
      <c r="AFZ70" s="68"/>
      <c r="AGA70" s="68"/>
      <c r="AGB70" s="68"/>
      <c r="AGC70" s="68"/>
      <c r="AGD70" s="68"/>
      <c r="AGE70" s="68"/>
      <c r="AGF70" s="68"/>
      <c r="AGG70" s="68"/>
      <c r="AGH70" s="68"/>
      <c r="AGI70" s="68"/>
      <c r="AGJ70" s="68"/>
      <c r="AGK70" s="68"/>
      <c r="AGL70" s="68"/>
      <c r="AGM70" s="68"/>
      <c r="AGN70" s="68"/>
      <c r="AGO70" s="68"/>
      <c r="AGP70" s="68"/>
      <c r="AGQ70" s="68"/>
      <c r="AGR70" s="68"/>
      <c r="AGS70" s="68"/>
      <c r="AGT70" s="68"/>
      <c r="AGU70" s="68"/>
      <c r="AGV70" s="68"/>
      <c r="AGW70" s="68"/>
      <c r="AGX70" s="68"/>
      <c r="AGY70" s="68"/>
      <c r="AGZ70" s="68"/>
      <c r="AHA70" s="68"/>
      <c r="AHB70" s="68"/>
      <c r="AHC70" s="68"/>
      <c r="AHD70" s="68"/>
      <c r="AHE70" s="68"/>
      <c r="AHF70" s="68"/>
      <c r="AHG70" s="68"/>
      <c r="AHH70" s="68"/>
      <c r="AHI70" s="68"/>
      <c r="AHJ70" s="68"/>
      <c r="AHK70" s="68"/>
      <c r="AHL70" s="68"/>
      <c r="AHM70" s="68"/>
      <c r="AHN70" s="68"/>
      <c r="AHO70" s="68"/>
      <c r="AHP70" s="68"/>
      <c r="AHQ70" s="68"/>
      <c r="AHR70" s="68"/>
      <c r="AHS70" s="68"/>
      <c r="AHT70" s="68"/>
      <c r="AHU70" s="68"/>
      <c r="AHV70" s="68"/>
      <c r="AHW70" s="68"/>
      <c r="AHX70" s="68"/>
      <c r="AHY70" s="68"/>
      <c r="AHZ70" s="68"/>
      <c r="AIA70" s="68"/>
      <c r="AIB70" s="68"/>
      <c r="AIC70" s="68"/>
      <c r="AID70" s="68"/>
      <c r="AIE70" s="68"/>
      <c r="AIF70" s="68"/>
      <c r="AIG70" s="68"/>
      <c r="AIH70" s="68"/>
      <c r="AII70" s="68"/>
      <c r="AIJ70" s="68"/>
      <c r="AIK70" s="68"/>
      <c r="AIL70" s="68"/>
      <c r="AIM70" s="68"/>
      <c r="AIN70" s="68"/>
      <c r="AIO70" s="68"/>
      <c r="AIP70" s="68"/>
      <c r="AIQ70" s="68"/>
      <c r="AIR70" s="68"/>
      <c r="AIS70" s="68"/>
      <c r="AIT70" s="68"/>
      <c r="AIU70" s="68"/>
      <c r="AIV70" s="68"/>
      <c r="AIW70" s="68"/>
      <c r="AIX70" s="68"/>
      <c r="AIY70" s="68"/>
      <c r="AIZ70" s="68"/>
      <c r="AJA70" s="68"/>
      <c r="AJB70" s="68"/>
      <c r="AJC70" s="68"/>
    </row>
    <row r="71" spans="1:939" s="85" customFormat="1" ht="15" customHeight="1" x14ac:dyDescent="0.25">
      <c r="A71" s="433"/>
      <c r="B71" s="434"/>
      <c r="C71" s="434"/>
      <c r="D71" s="438" t="s">
        <v>26</v>
      </c>
      <c r="E71" s="438"/>
      <c r="F71" s="438"/>
      <c r="G71" s="438"/>
      <c r="H71" s="438"/>
      <c r="I71" s="438"/>
      <c r="J71" s="438"/>
      <c r="K71" s="438"/>
      <c r="L71" s="438"/>
      <c r="M71" s="86"/>
      <c r="N71" s="87">
        <f>SUMIF($M$62:$M$68,D71,$N$62:$N$68)</f>
        <v>4517937.9000000004</v>
      </c>
      <c r="O71" s="87">
        <f>SUM(O62:O68)</f>
        <v>206802694.68747008</v>
      </c>
      <c r="P71" s="88">
        <f>SUMIF($M$62:$M$68,D71,$P$62:$P$68)</f>
        <v>4517937.9000000004</v>
      </c>
      <c r="Q71" s="87"/>
      <c r="R71" s="88">
        <f>SUMIF($M$62:$M$68,D71,$R$62:$R$68)</f>
        <v>2104966.73</v>
      </c>
      <c r="S71" s="88">
        <f>SUMIF($M$62:$M$68,D71,$S$62:$S$68)</f>
        <v>3797706.99</v>
      </c>
      <c r="T71" s="87">
        <f>SUMIF($M$62:$M$68,D71,$T$62:$T$68)</f>
        <v>2412971.17</v>
      </c>
      <c r="U71" s="87">
        <f>SUM(U62:U68)</f>
        <v>41507932.96549885</v>
      </c>
      <c r="V71" s="89"/>
      <c r="W71" s="90"/>
      <c r="X71" s="47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  <c r="DD71" s="68"/>
      <c r="DE71" s="68"/>
      <c r="DF71" s="68"/>
      <c r="DG71" s="68"/>
      <c r="DH71" s="68"/>
      <c r="DI71" s="68"/>
      <c r="DJ71" s="68"/>
      <c r="DK71" s="68"/>
      <c r="DL71" s="68"/>
      <c r="DM71" s="68"/>
      <c r="DN71" s="68"/>
      <c r="DO71" s="68"/>
      <c r="DP71" s="68"/>
      <c r="DQ71" s="68"/>
      <c r="DR71" s="68"/>
      <c r="DS71" s="68"/>
      <c r="DT71" s="68"/>
      <c r="DU71" s="68"/>
      <c r="DV71" s="68"/>
      <c r="DW71" s="68"/>
      <c r="DX71" s="68"/>
      <c r="DY71" s="68"/>
      <c r="DZ71" s="68"/>
      <c r="EA71" s="68"/>
      <c r="EB71" s="68"/>
      <c r="EC71" s="68"/>
      <c r="ED71" s="68"/>
      <c r="EE71" s="68"/>
      <c r="EF71" s="68"/>
      <c r="EG71" s="68"/>
      <c r="EH71" s="68"/>
      <c r="EI71" s="68"/>
      <c r="EJ71" s="68"/>
      <c r="EK71" s="68"/>
      <c r="EL71" s="68"/>
      <c r="EM71" s="68"/>
      <c r="EN71" s="68"/>
      <c r="EO71" s="68"/>
      <c r="EP71" s="68"/>
      <c r="EQ71" s="68"/>
      <c r="ER71" s="68"/>
      <c r="ES71" s="68"/>
      <c r="ET71" s="68"/>
      <c r="EU71" s="68"/>
      <c r="EV71" s="68"/>
      <c r="EW71" s="68"/>
      <c r="EX71" s="68"/>
      <c r="EY71" s="68"/>
      <c r="EZ71" s="68"/>
      <c r="FA71" s="68"/>
      <c r="FB71" s="68"/>
      <c r="FC71" s="68"/>
      <c r="FD71" s="68"/>
      <c r="FE71" s="68"/>
      <c r="FF71" s="68"/>
      <c r="FG71" s="68"/>
      <c r="FH71" s="68"/>
      <c r="FI71" s="68"/>
      <c r="FJ71" s="68"/>
      <c r="FK71" s="68"/>
      <c r="FL71" s="68"/>
      <c r="FM71" s="68"/>
      <c r="FN71" s="68"/>
      <c r="FO71" s="68"/>
      <c r="FP71" s="68"/>
      <c r="FQ71" s="68"/>
      <c r="FR71" s="68"/>
      <c r="FS71" s="68"/>
      <c r="FT71" s="68"/>
      <c r="FU71" s="68"/>
      <c r="FV71" s="68"/>
      <c r="FW71" s="68"/>
      <c r="FX71" s="68"/>
      <c r="FY71" s="68"/>
      <c r="FZ71" s="68"/>
      <c r="GA71" s="68"/>
      <c r="GB71" s="68"/>
      <c r="GC71" s="68"/>
      <c r="GD71" s="68"/>
      <c r="GE71" s="68"/>
      <c r="GF71" s="68"/>
      <c r="GG71" s="68"/>
      <c r="GH71" s="68"/>
      <c r="GI71" s="68"/>
      <c r="GJ71" s="68"/>
      <c r="GK71" s="68"/>
      <c r="GL71" s="68"/>
      <c r="GM71" s="68"/>
      <c r="GN71" s="68"/>
      <c r="GO71" s="68"/>
      <c r="GP71" s="68"/>
      <c r="GQ71" s="68"/>
      <c r="GR71" s="68"/>
      <c r="GS71" s="68"/>
      <c r="GT71" s="68"/>
      <c r="GU71" s="68"/>
      <c r="GV71" s="68"/>
      <c r="GW71" s="68"/>
      <c r="GX71" s="68"/>
      <c r="GY71" s="68"/>
      <c r="GZ71" s="68"/>
      <c r="HA71" s="68"/>
      <c r="HB71" s="68"/>
      <c r="HC71" s="68"/>
      <c r="HD71" s="68"/>
      <c r="HE71" s="68"/>
      <c r="HF71" s="68"/>
      <c r="HG71" s="68"/>
      <c r="HH71" s="68"/>
      <c r="HI71" s="68"/>
      <c r="HJ71" s="68"/>
      <c r="HK71" s="68"/>
      <c r="HL71" s="68"/>
      <c r="HM71" s="68"/>
      <c r="HN71" s="68"/>
      <c r="HO71" s="68"/>
      <c r="HP71" s="68"/>
      <c r="HQ71" s="68"/>
      <c r="HR71" s="68"/>
      <c r="HS71" s="68"/>
      <c r="HT71" s="68"/>
      <c r="HU71" s="68"/>
      <c r="HV71" s="68"/>
      <c r="HW71" s="68"/>
      <c r="HX71" s="68"/>
      <c r="HY71" s="68"/>
      <c r="HZ71" s="68"/>
      <c r="IA71" s="68"/>
      <c r="IB71" s="68"/>
      <c r="IC71" s="68"/>
      <c r="ID71" s="68"/>
      <c r="IE71" s="68"/>
      <c r="IF71" s="68"/>
      <c r="IG71" s="68"/>
      <c r="IH71" s="68"/>
      <c r="II71" s="68"/>
      <c r="IJ71" s="68"/>
      <c r="IK71" s="68"/>
      <c r="IL71" s="68"/>
      <c r="IM71" s="68"/>
      <c r="IN71" s="68"/>
      <c r="IO71" s="68"/>
      <c r="IP71" s="68"/>
      <c r="IQ71" s="68"/>
      <c r="IR71" s="68"/>
      <c r="IS71" s="68"/>
      <c r="IT71" s="68"/>
      <c r="IU71" s="68"/>
      <c r="IV71" s="68"/>
      <c r="IW71" s="68"/>
      <c r="IX71" s="68"/>
      <c r="IY71" s="68"/>
      <c r="IZ71" s="68"/>
      <c r="JA71" s="68"/>
      <c r="JB71" s="68"/>
      <c r="JC71" s="68"/>
      <c r="JD71" s="68"/>
      <c r="JE71" s="68"/>
      <c r="JF71" s="68"/>
      <c r="JG71" s="68"/>
      <c r="JH71" s="68"/>
      <c r="JI71" s="68"/>
      <c r="JJ71" s="68"/>
      <c r="JK71" s="68"/>
      <c r="JL71" s="68"/>
      <c r="JM71" s="68"/>
      <c r="JN71" s="68"/>
      <c r="JO71" s="68"/>
      <c r="JP71" s="68"/>
      <c r="JQ71" s="68"/>
      <c r="JR71" s="68"/>
      <c r="JS71" s="68"/>
      <c r="JT71" s="68"/>
      <c r="JU71" s="68"/>
      <c r="JV71" s="68"/>
      <c r="JW71" s="68"/>
      <c r="JX71" s="68"/>
      <c r="JY71" s="68"/>
      <c r="JZ71" s="68"/>
      <c r="KA71" s="68"/>
      <c r="KB71" s="68"/>
      <c r="KC71" s="68"/>
      <c r="KD71" s="68"/>
      <c r="KE71" s="68"/>
      <c r="KF71" s="68"/>
      <c r="KG71" s="68"/>
      <c r="KH71" s="68"/>
      <c r="KI71" s="68"/>
      <c r="KJ71" s="68"/>
      <c r="KK71" s="68"/>
      <c r="KL71" s="68"/>
      <c r="KM71" s="68"/>
      <c r="KN71" s="68"/>
      <c r="KO71" s="68"/>
      <c r="KP71" s="68"/>
      <c r="KQ71" s="68"/>
      <c r="KR71" s="68"/>
      <c r="KS71" s="68"/>
      <c r="KT71" s="68"/>
      <c r="KU71" s="68"/>
      <c r="KV71" s="68"/>
      <c r="KW71" s="68"/>
      <c r="KX71" s="68"/>
      <c r="KY71" s="68"/>
      <c r="KZ71" s="68"/>
      <c r="LA71" s="68"/>
      <c r="LB71" s="68"/>
      <c r="LC71" s="68"/>
      <c r="LD71" s="68"/>
      <c r="LE71" s="68"/>
      <c r="LF71" s="68"/>
      <c r="LG71" s="68"/>
      <c r="LH71" s="68"/>
      <c r="LI71" s="68"/>
      <c r="LJ71" s="68"/>
      <c r="LK71" s="68"/>
      <c r="LL71" s="68"/>
      <c r="LM71" s="68"/>
      <c r="LN71" s="68"/>
      <c r="LO71" s="68"/>
      <c r="LP71" s="68"/>
      <c r="LQ71" s="68"/>
      <c r="LR71" s="68"/>
      <c r="LS71" s="68"/>
      <c r="LT71" s="68"/>
      <c r="LU71" s="68"/>
      <c r="LV71" s="68"/>
      <c r="LW71" s="68"/>
      <c r="LX71" s="68"/>
      <c r="LY71" s="68"/>
      <c r="LZ71" s="68"/>
      <c r="MA71" s="68"/>
      <c r="MB71" s="68"/>
      <c r="MC71" s="68"/>
      <c r="MD71" s="68"/>
      <c r="ME71" s="68"/>
      <c r="MF71" s="68"/>
      <c r="MG71" s="68"/>
      <c r="MH71" s="68"/>
      <c r="MI71" s="68"/>
      <c r="MJ71" s="68"/>
      <c r="MK71" s="68"/>
      <c r="ML71" s="68"/>
      <c r="MM71" s="68"/>
      <c r="MN71" s="68"/>
      <c r="MO71" s="68"/>
      <c r="MP71" s="68"/>
      <c r="MQ71" s="68"/>
      <c r="MR71" s="68"/>
      <c r="MS71" s="68"/>
      <c r="MT71" s="68"/>
      <c r="MU71" s="68"/>
      <c r="MV71" s="68"/>
      <c r="MW71" s="68"/>
      <c r="MX71" s="68"/>
      <c r="MY71" s="68"/>
      <c r="MZ71" s="68"/>
      <c r="NA71" s="68"/>
      <c r="NB71" s="68"/>
      <c r="NC71" s="68"/>
      <c r="ND71" s="68"/>
      <c r="NE71" s="68"/>
      <c r="NF71" s="68"/>
      <c r="NG71" s="68"/>
      <c r="NH71" s="68"/>
      <c r="NI71" s="68"/>
      <c r="NJ71" s="68"/>
      <c r="NK71" s="68"/>
      <c r="NL71" s="68"/>
      <c r="NM71" s="68"/>
      <c r="NN71" s="68"/>
      <c r="NO71" s="68"/>
      <c r="NP71" s="68"/>
      <c r="NQ71" s="68"/>
      <c r="NR71" s="68"/>
      <c r="NS71" s="68"/>
      <c r="NT71" s="68"/>
      <c r="NU71" s="68"/>
      <c r="NV71" s="68"/>
      <c r="NW71" s="68"/>
      <c r="NX71" s="68"/>
      <c r="NY71" s="68"/>
      <c r="NZ71" s="68"/>
      <c r="OA71" s="68"/>
      <c r="OB71" s="68"/>
      <c r="OC71" s="68"/>
      <c r="OD71" s="68"/>
      <c r="OE71" s="68"/>
      <c r="OF71" s="68"/>
      <c r="OG71" s="68"/>
      <c r="OH71" s="68"/>
      <c r="OI71" s="68"/>
      <c r="OJ71" s="68"/>
      <c r="OK71" s="68"/>
      <c r="OL71" s="68"/>
      <c r="OM71" s="68"/>
      <c r="ON71" s="68"/>
      <c r="OO71" s="68"/>
      <c r="OP71" s="68"/>
      <c r="OQ71" s="68"/>
      <c r="OR71" s="68"/>
      <c r="OS71" s="68"/>
      <c r="OT71" s="68"/>
      <c r="OU71" s="68"/>
      <c r="OV71" s="68"/>
      <c r="OW71" s="68"/>
      <c r="OX71" s="68"/>
      <c r="OY71" s="68"/>
      <c r="OZ71" s="68"/>
      <c r="PA71" s="68"/>
      <c r="PB71" s="68"/>
      <c r="PC71" s="68"/>
      <c r="PD71" s="68"/>
      <c r="PE71" s="68"/>
      <c r="PF71" s="68"/>
      <c r="PG71" s="68"/>
      <c r="PH71" s="68"/>
      <c r="PI71" s="68"/>
      <c r="PJ71" s="68"/>
      <c r="PK71" s="68"/>
      <c r="PL71" s="68"/>
      <c r="PM71" s="68"/>
      <c r="PN71" s="68"/>
      <c r="PO71" s="68"/>
      <c r="PP71" s="68"/>
      <c r="PQ71" s="68"/>
      <c r="PR71" s="68"/>
      <c r="PS71" s="68"/>
      <c r="PT71" s="68"/>
      <c r="PU71" s="68"/>
      <c r="PV71" s="68"/>
      <c r="PW71" s="68"/>
      <c r="PX71" s="68"/>
      <c r="PY71" s="68"/>
      <c r="PZ71" s="68"/>
      <c r="QA71" s="68"/>
      <c r="QB71" s="68"/>
      <c r="QC71" s="68"/>
      <c r="QD71" s="68"/>
      <c r="QE71" s="68"/>
      <c r="QF71" s="68"/>
      <c r="QG71" s="68"/>
      <c r="QH71" s="68"/>
      <c r="QI71" s="68"/>
      <c r="QJ71" s="68"/>
      <c r="QK71" s="68"/>
      <c r="QL71" s="68"/>
      <c r="QM71" s="68"/>
      <c r="QN71" s="68"/>
      <c r="QO71" s="68"/>
      <c r="QP71" s="68"/>
      <c r="QQ71" s="68"/>
      <c r="QR71" s="68"/>
      <c r="QS71" s="68"/>
      <c r="QT71" s="68"/>
      <c r="QU71" s="68"/>
      <c r="QV71" s="68"/>
      <c r="QW71" s="68"/>
      <c r="QX71" s="68"/>
      <c r="QY71" s="68"/>
      <c r="QZ71" s="68"/>
      <c r="RA71" s="68"/>
      <c r="RB71" s="68"/>
      <c r="RC71" s="68"/>
      <c r="RD71" s="68"/>
      <c r="RE71" s="68"/>
      <c r="RF71" s="68"/>
      <c r="RG71" s="68"/>
      <c r="RH71" s="68"/>
      <c r="RI71" s="68"/>
      <c r="RJ71" s="68"/>
      <c r="RK71" s="68"/>
      <c r="RL71" s="68"/>
      <c r="RM71" s="68"/>
      <c r="RN71" s="68"/>
      <c r="RO71" s="68"/>
      <c r="RP71" s="68"/>
      <c r="RQ71" s="68"/>
      <c r="RR71" s="68"/>
      <c r="RS71" s="68"/>
      <c r="RT71" s="68"/>
      <c r="RU71" s="68"/>
      <c r="RV71" s="68"/>
      <c r="RW71" s="68"/>
      <c r="RX71" s="68"/>
      <c r="RY71" s="68"/>
      <c r="RZ71" s="68"/>
      <c r="SA71" s="68"/>
      <c r="SB71" s="68"/>
      <c r="SC71" s="68"/>
      <c r="SD71" s="68"/>
      <c r="SE71" s="68"/>
      <c r="SF71" s="68"/>
      <c r="SG71" s="68"/>
      <c r="SH71" s="68"/>
      <c r="SI71" s="68"/>
      <c r="SJ71" s="68"/>
      <c r="SK71" s="68"/>
      <c r="SL71" s="68"/>
      <c r="SM71" s="68"/>
      <c r="SN71" s="68"/>
      <c r="SO71" s="68"/>
      <c r="SP71" s="68"/>
      <c r="SQ71" s="68"/>
      <c r="SR71" s="68"/>
      <c r="SS71" s="68"/>
      <c r="ST71" s="68"/>
      <c r="SU71" s="68"/>
      <c r="SV71" s="68"/>
      <c r="SW71" s="68"/>
      <c r="SX71" s="68"/>
      <c r="SY71" s="68"/>
      <c r="SZ71" s="68"/>
      <c r="TA71" s="68"/>
      <c r="TB71" s="68"/>
      <c r="TC71" s="68"/>
      <c r="TD71" s="68"/>
      <c r="TE71" s="68"/>
      <c r="TF71" s="68"/>
      <c r="TG71" s="68"/>
      <c r="TH71" s="68"/>
      <c r="TI71" s="68"/>
      <c r="TJ71" s="68"/>
      <c r="TK71" s="68"/>
      <c r="TL71" s="68"/>
      <c r="TM71" s="68"/>
      <c r="TN71" s="68"/>
      <c r="TO71" s="68"/>
      <c r="TP71" s="68"/>
      <c r="TQ71" s="68"/>
      <c r="TR71" s="68"/>
      <c r="TS71" s="68"/>
      <c r="TT71" s="68"/>
      <c r="TU71" s="68"/>
      <c r="TV71" s="68"/>
      <c r="TW71" s="68"/>
      <c r="TX71" s="68"/>
      <c r="TY71" s="68"/>
      <c r="TZ71" s="68"/>
      <c r="UA71" s="68"/>
      <c r="UB71" s="68"/>
      <c r="UC71" s="68"/>
      <c r="UD71" s="68"/>
      <c r="UE71" s="68"/>
      <c r="UF71" s="68"/>
      <c r="UG71" s="68"/>
      <c r="UH71" s="68"/>
      <c r="UI71" s="68"/>
      <c r="UJ71" s="68"/>
      <c r="UK71" s="68"/>
      <c r="UL71" s="68"/>
      <c r="UM71" s="68"/>
      <c r="UN71" s="68"/>
      <c r="UO71" s="68"/>
      <c r="UP71" s="68"/>
      <c r="UQ71" s="68"/>
      <c r="UR71" s="68"/>
      <c r="US71" s="68"/>
      <c r="UT71" s="68"/>
      <c r="UU71" s="68"/>
      <c r="UV71" s="68"/>
      <c r="UW71" s="68"/>
      <c r="UX71" s="68"/>
      <c r="UY71" s="68"/>
      <c r="UZ71" s="68"/>
      <c r="VA71" s="68"/>
      <c r="VB71" s="68"/>
      <c r="VC71" s="68"/>
      <c r="VD71" s="68"/>
      <c r="VE71" s="68"/>
      <c r="VF71" s="68"/>
      <c r="VG71" s="68"/>
      <c r="VH71" s="68"/>
      <c r="VI71" s="68"/>
      <c r="VJ71" s="68"/>
      <c r="VK71" s="68"/>
      <c r="VL71" s="68"/>
      <c r="VM71" s="68"/>
      <c r="VN71" s="68"/>
      <c r="VO71" s="68"/>
      <c r="VP71" s="68"/>
      <c r="VQ71" s="68"/>
      <c r="VR71" s="68"/>
      <c r="VS71" s="68"/>
      <c r="VT71" s="68"/>
      <c r="VU71" s="68"/>
      <c r="VV71" s="68"/>
      <c r="VW71" s="68"/>
      <c r="VX71" s="68"/>
      <c r="VY71" s="68"/>
      <c r="VZ71" s="68"/>
      <c r="WA71" s="68"/>
      <c r="WB71" s="68"/>
      <c r="WC71" s="68"/>
      <c r="WD71" s="68"/>
      <c r="WE71" s="68"/>
      <c r="WF71" s="68"/>
      <c r="WG71" s="68"/>
      <c r="WH71" s="68"/>
      <c r="WI71" s="68"/>
      <c r="WJ71" s="68"/>
      <c r="WK71" s="68"/>
      <c r="WL71" s="68"/>
      <c r="WM71" s="68"/>
      <c r="WN71" s="68"/>
      <c r="WO71" s="68"/>
      <c r="WP71" s="68"/>
      <c r="WQ71" s="68"/>
      <c r="WR71" s="68"/>
      <c r="WS71" s="68"/>
      <c r="WT71" s="68"/>
      <c r="WU71" s="68"/>
      <c r="WV71" s="68"/>
      <c r="WW71" s="68"/>
      <c r="WX71" s="68"/>
      <c r="WY71" s="68"/>
      <c r="WZ71" s="68"/>
      <c r="XA71" s="68"/>
      <c r="XB71" s="68"/>
      <c r="XC71" s="68"/>
      <c r="XD71" s="68"/>
      <c r="XE71" s="68"/>
      <c r="XF71" s="68"/>
      <c r="XG71" s="68"/>
      <c r="XH71" s="68"/>
      <c r="XI71" s="68"/>
      <c r="XJ71" s="68"/>
      <c r="XK71" s="68"/>
      <c r="XL71" s="68"/>
      <c r="XM71" s="68"/>
      <c r="XN71" s="68"/>
      <c r="XO71" s="68"/>
      <c r="XP71" s="68"/>
      <c r="XQ71" s="68"/>
      <c r="XR71" s="68"/>
      <c r="XS71" s="68"/>
      <c r="XT71" s="68"/>
      <c r="XU71" s="68"/>
      <c r="XV71" s="68"/>
      <c r="XW71" s="68"/>
      <c r="XX71" s="68"/>
      <c r="XY71" s="68"/>
      <c r="XZ71" s="68"/>
      <c r="YA71" s="68"/>
      <c r="YB71" s="68"/>
      <c r="YC71" s="68"/>
      <c r="YD71" s="68"/>
      <c r="YE71" s="68"/>
      <c r="YF71" s="68"/>
      <c r="YG71" s="68"/>
      <c r="YH71" s="68"/>
      <c r="YI71" s="68"/>
      <c r="YJ71" s="68"/>
      <c r="YK71" s="68"/>
      <c r="YL71" s="68"/>
      <c r="YM71" s="68"/>
      <c r="YN71" s="68"/>
      <c r="YO71" s="68"/>
      <c r="YP71" s="68"/>
      <c r="YQ71" s="68"/>
      <c r="YR71" s="68"/>
      <c r="YS71" s="68"/>
      <c r="YT71" s="68"/>
      <c r="YU71" s="68"/>
      <c r="YV71" s="68"/>
      <c r="YW71" s="68"/>
      <c r="YX71" s="68"/>
      <c r="YY71" s="68"/>
      <c r="YZ71" s="68"/>
      <c r="ZA71" s="68"/>
      <c r="ZB71" s="68"/>
      <c r="ZC71" s="68"/>
      <c r="ZD71" s="68"/>
      <c r="ZE71" s="68"/>
      <c r="ZF71" s="68"/>
      <c r="ZG71" s="68"/>
      <c r="ZH71" s="68"/>
      <c r="ZI71" s="68"/>
      <c r="ZJ71" s="68"/>
      <c r="ZK71" s="68"/>
      <c r="ZL71" s="68"/>
      <c r="ZM71" s="68"/>
      <c r="ZN71" s="68"/>
      <c r="ZO71" s="68"/>
      <c r="ZP71" s="68"/>
      <c r="ZQ71" s="68"/>
      <c r="ZR71" s="68"/>
      <c r="ZS71" s="68"/>
      <c r="ZT71" s="68"/>
      <c r="ZU71" s="68"/>
      <c r="ZV71" s="68"/>
      <c r="ZW71" s="68"/>
      <c r="ZX71" s="68"/>
      <c r="ZY71" s="68"/>
      <c r="ZZ71" s="68"/>
      <c r="AAA71" s="68"/>
      <c r="AAB71" s="68"/>
      <c r="AAC71" s="68"/>
      <c r="AAD71" s="68"/>
      <c r="AAE71" s="68"/>
      <c r="AAF71" s="68"/>
      <c r="AAG71" s="68"/>
      <c r="AAH71" s="68"/>
      <c r="AAI71" s="68"/>
      <c r="AAJ71" s="68"/>
      <c r="AAK71" s="68"/>
      <c r="AAL71" s="68"/>
      <c r="AAM71" s="68"/>
      <c r="AAN71" s="68"/>
      <c r="AAO71" s="68"/>
      <c r="AAP71" s="68"/>
      <c r="AAQ71" s="68"/>
      <c r="AAR71" s="68"/>
      <c r="AAS71" s="68"/>
      <c r="AAT71" s="68"/>
      <c r="AAU71" s="68"/>
      <c r="AAV71" s="68"/>
      <c r="AAW71" s="68"/>
      <c r="AAX71" s="68"/>
      <c r="AAY71" s="68"/>
      <c r="AAZ71" s="68"/>
      <c r="ABA71" s="68"/>
      <c r="ABB71" s="68"/>
      <c r="ABC71" s="68"/>
      <c r="ABD71" s="68"/>
      <c r="ABE71" s="68"/>
      <c r="ABF71" s="68"/>
      <c r="ABG71" s="68"/>
      <c r="ABH71" s="68"/>
      <c r="ABI71" s="68"/>
      <c r="ABJ71" s="68"/>
      <c r="ABK71" s="68"/>
      <c r="ABL71" s="68"/>
      <c r="ABM71" s="68"/>
      <c r="ABN71" s="68"/>
      <c r="ABO71" s="68"/>
      <c r="ABP71" s="68"/>
      <c r="ABQ71" s="68"/>
      <c r="ABR71" s="68"/>
      <c r="ABS71" s="68"/>
      <c r="ABT71" s="68"/>
      <c r="ABU71" s="68"/>
      <c r="ABV71" s="68"/>
      <c r="ABW71" s="68"/>
      <c r="ABX71" s="68"/>
      <c r="ABY71" s="68"/>
      <c r="ABZ71" s="68"/>
      <c r="ACA71" s="68"/>
      <c r="ACB71" s="68"/>
      <c r="ACC71" s="68"/>
      <c r="ACD71" s="68"/>
      <c r="ACE71" s="68"/>
      <c r="ACF71" s="68"/>
      <c r="ACG71" s="68"/>
      <c r="ACH71" s="68"/>
      <c r="ACI71" s="68"/>
      <c r="ACJ71" s="68"/>
      <c r="ACK71" s="68"/>
      <c r="ACL71" s="68"/>
      <c r="ACM71" s="68"/>
      <c r="ACN71" s="68"/>
      <c r="ACO71" s="68"/>
      <c r="ACP71" s="68"/>
      <c r="ACQ71" s="68"/>
      <c r="ACR71" s="68"/>
      <c r="ACS71" s="68"/>
      <c r="ACT71" s="68"/>
      <c r="ACU71" s="68"/>
      <c r="ACV71" s="68"/>
      <c r="ACW71" s="68"/>
      <c r="ACX71" s="68"/>
      <c r="ACY71" s="68"/>
      <c r="ACZ71" s="68"/>
      <c r="ADA71" s="68"/>
      <c r="ADB71" s="68"/>
      <c r="ADC71" s="68"/>
      <c r="ADD71" s="68"/>
      <c r="ADE71" s="68"/>
      <c r="ADF71" s="68"/>
      <c r="ADG71" s="68"/>
      <c r="ADH71" s="68"/>
      <c r="ADI71" s="68"/>
      <c r="ADJ71" s="68"/>
      <c r="ADK71" s="68"/>
      <c r="ADL71" s="68"/>
      <c r="ADM71" s="68"/>
      <c r="ADN71" s="68"/>
      <c r="ADO71" s="68"/>
      <c r="ADP71" s="68"/>
      <c r="ADQ71" s="68"/>
      <c r="ADR71" s="68"/>
      <c r="ADS71" s="68"/>
      <c r="ADT71" s="68"/>
      <c r="ADU71" s="68"/>
      <c r="ADV71" s="68"/>
      <c r="ADW71" s="68"/>
      <c r="ADX71" s="68"/>
      <c r="ADY71" s="68"/>
      <c r="ADZ71" s="68"/>
      <c r="AEA71" s="68"/>
      <c r="AEB71" s="68"/>
      <c r="AEC71" s="68"/>
      <c r="AED71" s="68"/>
      <c r="AEE71" s="68"/>
      <c r="AEF71" s="68"/>
      <c r="AEG71" s="68"/>
      <c r="AEH71" s="68"/>
      <c r="AEI71" s="68"/>
      <c r="AEJ71" s="68"/>
      <c r="AEK71" s="68"/>
      <c r="AEL71" s="68"/>
      <c r="AEM71" s="68"/>
      <c r="AEN71" s="68"/>
      <c r="AEO71" s="68"/>
      <c r="AEP71" s="68"/>
      <c r="AEQ71" s="68"/>
      <c r="AER71" s="68"/>
      <c r="AES71" s="68"/>
      <c r="AET71" s="68"/>
      <c r="AEU71" s="68"/>
      <c r="AEV71" s="68"/>
      <c r="AEW71" s="68"/>
      <c r="AEX71" s="68"/>
      <c r="AEY71" s="68"/>
      <c r="AEZ71" s="68"/>
      <c r="AFA71" s="68"/>
      <c r="AFB71" s="68"/>
      <c r="AFC71" s="68"/>
      <c r="AFD71" s="68"/>
      <c r="AFE71" s="68"/>
      <c r="AFF71" s="68"/>
      <c r="AFG71" s="68"/>
      <c r="AFH71" s="68"/>
      <c r="AFI71" s="68"/>
      <c r="AFJ71" s="68"/>
      <c r="AFK71" s="68"/>
      <c r="AFL71" s="68"/>
      <c r="AFM71" s="68"/>
      <c r="AFN71" s="68"/>
      <c r="AFO71" s="68"/>
      <c r="AFP71" s="68"/>
      <c r="AFQ71" s="68"/>
      <c r="AFR71" s="68"/>
      <c r="AFS71" s="68"/>
      <c r="AFT71" s="68"/>
      <c r="AFU71" s="68"/>
      <c r="AFV71" s="68"/>
      <c r="AFW71" s="68"/>
      <c r="AFX71" s="68"/>
      <c r="AFY71" s="68"/>
      <c r="AFZ71" s="68"/>
      <c r="AGA71" s="68"/>
      <c r="AGB71" s="68"/>
      <c r="AGC71" s="68"/>
      <c r="AGD71" s="68"/>
      <c r="AGE71" s="68"/>
      <c r="AGF71" s="68"/>
      <c r="AGG71" s="68"/>
      <c r="AGH71" s="68"/>
      <c r="AGI71" s="68"/>
      <c r="AGJ71" s="68"/>
      <c r="AGK71" s="68"/>
      <c r="AGL71" s="68"/>
      <c r="AGM71" s="68"/>
      <c r="AGN71" s="68"/>
      <c r="AGO71" s="68"/>
      <c r="AGP71" s="68"/>
      <c r="AGQ71" s="68"/>
      <c r="AGR71" s="68"/>
      <c r="AGS71" s="68"/>
      <c r="AGT71" s="68"/>
      <c r="AGU71" s="68"/>
      <c r="AGV71" s="68"/>
      <c r="AGW71" s="68"/>
      <c r="AGX71" s="68"/>
      <c r="AGY71" s="68"/>
      <c r="AGZ71" s="68"/>
      <c r="AHA71" s="68"/>
      <c r="AHB71" s="68"/>
      <c r="AHC71" s="68"/>
      <c r="AHD71" s="68"/>
      <c r="AHE71" s="68"/>
      <c r="AHF71" s="68"/>
      <c r="AHG71" s="68"/>
      <c r="AHH71" s="68"/>
      <c r="AHI71" s="68"/>
      <c r="AHJ71" s="68"/>
      <c r="AHK71" s="68"/>
      <c r="AHL71" s="68"/>
      <c r="AHM71" s="68"/>
      <c r="AHN71" s="68"/>
      <c r="AHO71" s="68"/>
      <c r="AHP71" s="68"/>
      <c r="AHQ71" s="68"/>
      <c r="AHR71" s="68"/>
      <c r="AHS71" s="68"/>
      <c r="AHT71" s="68"/>
      <c r="AHU71" s="68"/>
      <c r="AHV71" s="68"/>
      <c r="AHW71" s="68"/>
      <c r="AHX71" s="68"/>
      <c r="AHY71" s="68"/>
      <c r="AHZ71" s="68"/>
      <c r="AIA71" s="68"/>
      <c r="AIB71" s="68"/>
      <c r="AIC71" s="68"/>
      <c r="AID71" s="68"/>
      <c r="AIE71" s="68"/>
      <c r="AIF71" s="68"/>
      <c r="AIG71" s="68"/>
      <c r="AIH71" s="68"/>
      <c r="AII71" s="68"/>
      <c r="AIJ71" s="68"/>
      <c r="AIK71" s="68"/>
      <c r="AIL71" s="68"/>
      <c r="AIM71" s="68"/>
      <c r="AIN71" s="68"/>
      <c r="AIO71" s="68"/>
      <c r="AIP71" s="68"/>
      <c r="AIQ71" s="68"/>
      <c r="AIR71" s="68"/>
      <c r="AIS71" s="68"/>
      <c r="AIT71" s="68"/>
      <c r="AIU71" s="68"/>
      <c r="AIV71" s="68"/>
      <c r="AIW71" s="68"/>
      <c r="AIX71" s="68"/>
      <c r="AIY71" s="68"/>
      <c r="AIZ71" s="68"/>
      <c r="AJA71" s="68"/>
      <c r="AJB71" s="68"/>
      <c r="AJC71" s="68"/>
    </row>
    <row r="72" spans="1:939" s="85" customFormat="1" ht="15" thickBot="1" x14ac:dyDescent="0.3">
      <c r="A72" s="435"/>
      <c r="B72" s="436"/>
      <c r="C72" s="436"/>
      <c r="D72" s="439" t="s">
        <v>18</v>
      </c>
      <c r="E72" s="439"/>
      <c r="F72" s="439"/>
      <c r="G72" s="439"/>
      <c r="H72" s="439"/>
      <c r="I72" s="439"/>
      <c r="J72" s="439"/>
      <c r="K72" s="439"/>
      <c r="L72" s="439"/>
      <c r="M72" s="91"/>
      <c r="N72" s="92">
        <f>SUMIF($M$62:$M$68,D72,$N$62:$N$68)</f>
        <v>0</v>
      </c>
      <c r="O72" s="92"/>
      <c r="P72" s="93">
        <f>SUMIF($M$62:$M$68,D72,$P$62:$P$68)</f>
        <v>0</v>
      </c>
      <c r="Q72" s="92"/>
      <c r="R72" s="93">
        <f>SUMIF($M$62:$M$68,D72,$R$62:$R$68)</f>
        <v>0</v>
      </c>
      <c r="S72" s="93">
        <f>SUMIF($M$62:$M$68,D72,$S$62:$S$68)</f>
        <v>0</v>
      </c>
      <c r="T72" s="92">
        <f>SUMIF($M$62:$M$68,D72,$T$62:$T$68)</f>
        <v>0</v>
      </c>
      <c r="U72" s="92"/>
      <c r="V72" s="94"/>
      <c r="W72" s="95"/>
      <c r="X72" s="47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  <c r="DD72" s="68"/>
      <c r="DE72" s="68"/>
      <c r="DF72" s="68"/>
      <c r="DG72" s="68"/>
      <c r="DH72" s="68"/>
      <c r="DI72" s="68"/>
      <c r="DJ72" s="68"/>
      <c r="DK72" s="68"/>
      <c r="DL72" s="68"/>
      <c r="DM72" s="68"/>
      <c r="DN72" s="68"/>
      <c r="DO72" s="68"/>
      <c r="DP72" s="68"/>
      <c r="DQ72" s="68"/>
      <c r="DR72" s="68"/>
      <c r="DS72" s="68"/>
      <c r="DT72" s="68"/>
      <c r="DU72" s="68"/>
      <c r="DV72" s="68"/>
      <c r="DW72" s="68"/>
      <c r="DX72" s="68"/>
      <c r="DY72" s="68"/>
      <c r="DZ72" s="68"/>
      <c r="EA72" s="68"/>
      <c r="EB72" s="68"/>
      <c r="EC72" s="68"/>
      <c r="ED72" s="68"/>
      <c r="EE72" s="68"/>
      <c r="EF72" s="68"/>
      <c r="EG72" s="68"/>
      <c r="EH72" s="68"/>
      <c r="EI72" s="68"/>
      <c r="EJ72" s="68"/>
      <c r="EK72" s="68"/>
      <c r="EL72" s="68"/>
      <c r="EM72" s="68"/>
      <c r="EN72" s="68"/>
      <c r="EO72" s="68"/>
      <c r="EP72" s="68"/>
      <c r="EQ72" s="68"/>
      <c r="ER72" s="68"/>
      <c r="ES72" s="68"/>
      <c r="ET72" s="68"/>
      <c r="EU72" s="68"/>
      <c r="EV72" s="68"/>
      <c r="EW72" s="68"/>
      <c r="EX72" s="68"/>
      <c r="EY72" s="68"/>
      <c r="EZ72" s="68"/>
      <c r="FA72" s="68"/>
      <c r="FB72" s="68"/>
      <c r="FC72" s="68"/>
      <c r="FD72" s="68"/>
      <c r="FE72" s="68"/>
      <c r="FF72" s="68"/>
      <c r="FG72" s="68"/>
      <c r="FH72" s="68"/>
      <c r="FI72" s="68"/>
      <c r="FJ72" s="68"/>
      <c r="FK72" s="68"/>
      <c r="FL72" s="68"/>
      <c r="FM72" s="68"/>
      <c r="FN72" s="68"/>
      <c r="FO72" s="68"/>
      <c r="FP72" s="68"/>
      <c r="FQ72" s="68"/>
      <c r="FR72" s="68"/>
      <c r="FS72" s="68"/>
      <c r="FT72" s="68"/>
      <c r="FU72" s="68"/>
      <c r="FV72" s="68"/>
      <c r="FW72" s="68"/>
      <c r="FX72" s="68"/>
      <c r="FY72" s="68"/>
      <c r="FZ72" s="68"/>
      <c r="GA72" s="68"/>
      <c r="GB72" s="68"/>
      <c r="GC72" s="68"/>
      <c r="GD72" s="68"/>
      <c r="GE72" s="68"/>
      <c r="GF72" s="68"/>
      <c r="GG72" s="68"/>
      <c r="GH72" s="68"/>
      <c r="GI72" s="68"/>
      <c r="GJ72" s="68"/>
      <c r="GK72" s="68"/>
      <c r="GL72" s="68"/>
      <c r="GM72" s="68"/>
      <c r="GN72" s="68"/>
      <c r="GO72" s="68"/>
      <c r="GP72" s="68"/>
      <c r="GQ72" s="68"/>
      <c r="GR72" s="68"/>
      <c r="GS72" s="68"/>
      <c r="GT72" s="68"/>
      <c r="GU72" s="68"/>
      <c r="GV72" s="68"/>
      <c r="GW72" s="68"/>
      <c r="GX72" s="68"/>
      <c r="GY72" s="68"/>
      <c r="GZ72" s="68"/>
      <c r="HA72" s="68"/>
      <c r="HB72" s="68"/>
      <c r="HC72" s="68"/>
      <c r="HD72" s="68"/>
      <c r="HE72" s="68"/>
      <c r="HF72" s="68"/>
      <c r="HG72" s="68"/>
      <c r="HH72" s="68"/>
      <c r="HI72" s="68"/>
      <c r="HJ72" s="68"/>
      <c r="HK72" s="68"/>
      <c r="HL72" s="68"/>
      <c r="HM72" s="68"/>
      <c r="HN72" s="68"/>
      <c r="HO72" s="68"/>
      <c r="HP72" s="68"/>
      <c r="HQ72" s="68"/>
      <c r="HR72" s="68"/>
      <c r="HS72" s="68"/>
      <c r="HT72" s="68"/>
      <c r="HU72" s="68"/>
      <c r="HV72" s="68"/>
      <c r="HW72" s="68"/>
      <c r="HX72" s="68"/>
      <c r="HY72" s="68"/>
      <c r="HZ72" s="68"/>
      <c r="IA72" s="68"/>
      <c r="IB72" s="68"/>
      <c r="IC72" s="68"/>
      <c r="ID72" s="68"/>
      <c r="IE72" s="68"/>
      <c r="IF72" s="68"/>
      <c r="IG72" s="68"/>
      <c r="IH72" s="68"/>
      <c r="II72" s="68"/>
      <c r="IJ72" s="68"/>
      <c r="IK72" s="68"/>
      <c r="IL72" s="68"/>
      <c r="IM72" s="68"/>
      <c r="IN72" s="68"/>
      <c r="IO72" s="68"/>
      <c r="IP72" s="68"/>
      <c r="IQ72" s="68"/>
      <c r="IR72" s="68"/>
      <c r="IS72" s="68"/>
      <c r="IT72" s="68"/>
      <c r="IU72" s="68"/>
      <c r="IV72" s="68"/>
      <c r="IW72" s="68"/>
      <c r="IX72" s="68"/>
      <c r="IY72" s="68"/>
      <c r="IZ72" s="68"/>
      <c r="JA72" s="68"/>
      <c r="JB72" s="68"/>
      <c r="JC72" s="68"/>
      <c r="JD72" s="68"/>
      <c r="JE72" s="68"/>
      <c r="JF72" s="68"/>
      <c r="JG72" s="68"/>
      <c r="JH72" s="68"/>
      <c r="JI72" s="68"/>
      <c r="JJ72" s="68"/>
      <c r="JK72" s="68"/>
      <c r="JL72" s="68"/>
      <c r="JM72" s="68"/>
      <c r="JN72" s="68"/>
      <c r="JO72" s="68"/>
      <c r="JP72" s="68"/>
      <c r="JQ72" s="68"/>
      <c r="JR72" s="68"/>
      <c r="JS72" s="68"/>
      <c r="JT72" s="68"/>
      <c r="JU72" s="68"/>
      <c r="JV72" s="68"/>
      <c r="JW72" s="68"/>
      <c r="JX72" s="68"/>
      <c r="JY72" s="68"/>
      <c r="JZ72" s="68"/>
      <c r="KA72" s="68"/>
      <c r="KB72" s="68"/>
      <c r="KC72" s="68"/>
      <c r="KD72" s="68"/>
      <c r="KE72" s="68"/>
      <c r="KF72" s="68"/>
      <c r="KG72" s="68"/>
      <c r="KH72" s="68"/>
      <c r="KI72" s="68"/>
      <c r="KJ72" s="68"/>
      <c r="KK72" s="68"/>
      <c r="KL72" s="68"/>
      <c r="KM72" s="68"/>
      <c r="KN72" s="68"/>
      <c r="KO72" s="68"/>
      <c r="KP72" s="68"/>
      <c r="KQ72" s="68"/>
      <c r="KR72" s="68"/>
      <c r="KS72" s="68"/>
      <c r="KT72" s="68"/>
      <c r="KU72" s="68"/>
      <c r="KV72" s="68"/>
      <c r="KW72" s="68"/>
      <c r="KX72" s="68"/>
      <c r="KY72" s="68"/>
      <c r="KZ72" s="68"/>
      <c r="LA72" s="68"/>
      <c r="LB72" s="68"/>
      <c r="LC72" s="68"/>
      <c r="LD72" s="68"/>
      <c r="LE72" s="68"/>
      <c r="LF72" s="68"/>
      <c r="LG72" s="68"/>
      <c r="LH72" s="68"/>
      <c r="LI72" s="68"/>
      <c r="LJ72" s="68"/>
      <c r="LK72" s="68"/>
      <c r="LL72" s="68"/>
      <c r="LM72" s="68"/>
      <c r="LN72" s="68"/>
      <c r="LO72" s="68"/>
      <c r="LP72" s="68"/>
      <c r="LQ72" s="68"/>
      <c r="LR72" s="68"/>
      <c r="LS72" s="68"/>
      <c r="LT72" s="68"/>
      <c r="LU72" s="68"/>
      <c r="LV72" s="68"/>
      <c r="LW72" s="68"/>
      <c r="LX72" s="68"/>
      <c r="LY72" s="68"/>
      <c r="LZ72" s="68"/>
      <c r="MA72" s="68"/>
      <c r="MB72" s="68"/>
      <c r="MC72" s="68"/>
      <c r="MD72" s="68"/>
      <c r="ME72" s="68"/>
      <c r="MF72" s="68"/>
      <c r="MG72" s="68"/>
      <c r="MH72" s="68"/>
      <c r="MI72" s="68"/>
      <c r="MJ72" s="68"/>
      <c r="MK72" s="68"/>
      <c r="ML72" s="68"/>
      <c r="MM72" s="68"/>
      <c r="MN72" s="68"/>
      <c r="MO72" s="68"/>
      <c r="MP72" s="68"/>
      <c r="MQ72" s="68"/>
      <c r="MR72" s="68"/>
      <c r="MS72" s="68"/>
      <c r="MT72" s="68"/>
      <c r="MU72" s="68"/>
      <c r="MV72" s="68"/>
      <c r="MW72" s="68"/>
      <c r="MX72" s="68"/>
      <c r="MY72" s="68"/>
      <c r="MZ72" s="68"/>
      <c r="NA72" s="68"/>
      <c r="NB72" s="68"/>
      <c r="NC72" s="68"/>
      <c r="ND72" s="68"/>
      <c r="NE72" s="68"/>
      <c r="NF72" s="68"/>
      <c r="NG72" s="68"/>
      <c r="NH72" s="68"/>
      <c r="NI72" s="68"/>
      <c r="NJ72" s="68"/>
      <c r="NK72" s="68"/>
      <c r="NL72" s="68"/>
      <c r="NM72" s="68"/>
      <c r="NN72" s="68"/>
      <c r="NO72" s="68"/>
      <c r="NP72" s="68"/>
      <c r="NQ72" s="68"/>
      <c r="NR72" s="68"/>
      <c r="NS72" s="68"/>
      <c r="NT72" s="68"/>
      <c r="NU72" s="68"/>
      <c r="NV72" s="68"/>
      <c r="NW72" s="68"/>
      <c r="NX72" s="68"/>
      <c r="NY72" s="68"/>
      <c r="NZ72" s="68"/>
      <c r="OA72" s="68"/>
      <c r="OB72" s="68"/>
      <c r="OC72" s="68"/>
      <c r="OD72" s="68"/>
      <c r="OE72" s="68"/>
      <c r="OF72" s="68"/>
      <c r="OG72" s="68"/>
      <c r="OH72" s="68"/>
      <c r="OI72" s="68"/>
      <c r="OJ72" s="68"/>
      <c r="OK72" s="68"/>
      <c r="OL72" s="68"/>
      <c r="OM72" s="68"/>
      <c r="ON72" s="68"/>
      <c r="OO72" s="68"/>
      <c r="OP72" s="68"/>
      <c r="OQ72" s="68"/>
      <c r="OR72" s="68"/>
      <c r="OS72" s="68"/>
      <c r="OT72" s="68"/>
      <c r="OU72" s="68"/>
      <c r="OV72" s="68"/>
      <c r="OW72" s="68"/>
      <c r="OX72" s="68"/>
      <c r="OY72" s="68"/>
      <c r="OZ72" s="68"/>
      <c r="PA72" s="68"/>
      <c r="PB72" s="68"/>
      <c r="PC72" s="68"/>
      <c r="PD72" s="68"/>
      <c r="PE72" s="68"/>
      <c r="PF72" s="68"/>
      <c r="PG72" s="68"/>
      <c r="PH72" s="68"/>
      <c r="PI72" s="68"/>
      <c r="PJ72" s="68"/>
      <c r="PK72" s="68"/>
      <c r="PL72" s="68"/>
      <c r="PM72" s="68"/>
      <c r="PN72" s="68"/>
      <c r="PO72" s="68"/>
      <c r="PP72" s="68"/>
      <c r="PQ72" s="68"/>
      <c r="PR72" s="68"/>
      <c r="PS72" s="68"/>
      <c r="PT72" s="68"/>
      <c r="PU72" s="68"/>
      <c r="PV72" s="68"/>
      <c r="PW72" s="68"/>
      <c r="PX72" s="68"/>
      <c r="PY72" s="68"/>
      <c r="PZ72" s="68"/>
      <c r="QA72" s="68"/>
      <c r="QB72" s="68"/>
      <c r="QC72" s="68"/>
      <c r="QD72" s="68"/>
      <c r="QE72" s="68"/>
      <c r="QF72" s="68"/>
      <c r="QG72" s="68"/>
      <c r="QH72" s="68"/>
      <c r="QI72" s="68"/>
      <c r="QJ72" s="68"/>
      <c r="QK72" s="68"/>
      <c r="QL72" s="68"/>
      <c r="QM72" s="68"/>
      <c r="QN72" s="68"/>
      <c r="QO72" s="68"/>
      <c r="QP72" s="68"/>
      <c r="QQ72" s="68"/>
      <c r="QR72" s="68"/>
      <c r="QS72" s="68"/>
      <c r="QT72" s="68"/>
      <c r="QU72" s="68"/>
      <c r="QV72" s="68"/>
      <c r="QW72" s="68"/>
      <c r="QX72" s="68"/>
      <c r="QY72" s="68"/>
      <c r="QZ72" s="68"/>
      <c r="RA72" s="68"/>
      <c r="RB72" s="68"/>
      <c r="RC72" s="68"/>
      <c r="RD72" s="68"/>
      <c r="RE72" s="68"/>
      <c r="RF72" s="68"/>
      <c r="RG72" s="68"/>
      <c r="RH72" s="68"/>
      <c r="RI72" s="68"/>
      <c r="RJ72" s="68"/>
      <c r="RK72" s="68"/>
      <c r="RL72" s="68"/>
      <c r="RM72" s="68"/>
      <c r="RN72" s="68"/>
      <c r="RO72" s="68"/>
      <c r="RP72" s="68"/>
      <c r="RQ72" s="68"/>
      <c r="RR72" s="68"/>
      <c r="RS72" s="68"/>
      <c r="RT72" s="68"/>
      <c r="RU72" s="68"/>
      <c r="RV72" s="68"/>
      <c r="RW72" s="68"/>
      <c r="RX72" s="68"/>
      <c r="RY72" s="68"/>
      <c r="RZ72" s="68"/>
      <c r="SA72" s="68"/>
      <c r="SB72" s="68"/>
      <c r="SC72" s="68"/>
      <c r="SD72" s="68"/>
      <c r="SE72" s="68"/>
      <c r="SF72" s="68"/>
      <c r="SG72" s="68"/>
      <c r="SH72" s="68"/>
      <c r="SI72" s="68"/>
      <c r="SJ72" s="68"/>
      <c r="SK72" s="68"/>
      <c r="SL72" s="68"/>
      <c r="SM72" s="68"/>
      <c r="SN72" s="68"/>
      <c r="SO72" s="68"/>
      <c r="SP72" s="68"/>
      <c r="SQ72" s="68"/>
      <c r="SR72" s="68"/>
      <c r="SS72" s="68"/>
      <c r="ST72" s="68"/>
      <c r="SU72" s="68"/>
      <c r="SV72" s="68"/>
      <c r="SW72" s="68"/>
      <c r="SX72" s="68"/>
      <c r="SY72" s="68"/>
      <c r="SZ72" s="68"/>
      <c r="TA72" s="68"/>
      <c r="TB72" s="68"/>
      <c r="TC72" s="68"/>
      <c r="TD72" s="68"/>
      <c r="TE72" s="68"/>
      <c r="TF72" s="68"/>
      <c r="TG72" s="68"/>
      <c r="TH72" s="68"/>
      <c r="TI72" s="68"/>
      <c r="TJ72" s="68"/>
      <c r="TK72" s="68"/>
      <c r="TL72" s="68"/>
      <c r="TM72" s="68"/>
      <c r="TN72" s="68"/>
      <c r="TO72" s="68"/>
      <c r="TP72" s="68"/>
      <c r="TQ72" s="68"/>
      <c r="TR72" s="68"/>
      <c r="TS72" s="68"/>
      <c r="TT72" s="68"/>
      <c r="TU72" s="68"/>
      <c r="TV72" s="68"/>
      <c r="TW72" s="68"/>
      <c r="TX72" s="68"/>
      <c r="TY72" s="68"/>
      <c r="TZ72" s="68"/>
      <c r="UA72" s="68"/>
      <c r="UB72" s="68"/>
      <c r="UC72" s="68"/>
      <c r="UD72" s="68"/>
      <c r="UE72" s="68"/>
      <c r="UF72" s="68"/>
      <c r="UG72" s="68"/>
      <c r="UH72" s="68"/>
      <c r="UI72" s="68"/>
      <c r="UJ72" s="68"/>
      <c r="UK72" s="68"/>
      <c r="UL72" s="68"/>
      <c r="UM72" s="68"/>
      <c r="UN72" s="68"/>
      <c r="UO72" s="68"/>
      <c r="UP72" s="68"/>
      <c r="UQ72" s="68"/>
      <c r="UR72" s="68"/>
      <c r="US72" s="68"/>
      <c r="UT72" s="68"/>
      <c r="UU72" s="68"/>
      <c r="UV72" s="68"/>
      <c r="UW72" s="68"/>
      <c r="UX72" s="68"/>
      <c r="UY72" s="68"/>
      <c r="UZ72" s="68"/>
      <c r="VA72" s="68"/>
      <c r="VB72" s="68"/>
      <c r="VC72" s="68"/>
      <c r="VD72" s="68"/>
      <c r="VE72" s="68"/>
      <c r="VF72" s="68"/>
      <c r="VG72" s="68"/>
      <c r="VH72" s="68"/>
      <c r="VI72" s="68"/>
      <c r="VJ72" s="68"/>
      <c r="VK72" s="68"/>
      <c r="VL72" s="68"/>
      <c r="VM72" s="68"/>
      <c r="VN72" s="68"/>
      <c r="VO72" s="68"/>
      <c r="VP72" s="68"/>
      <c r="VQ72" s="68"/>
      <c r="VR72" s="68"/>
      <c r="VS72" s="68"/>
      <c r="VT72" s="68"/>
      <c r="VU72" s="68"/>
      <c r="VV72" s="68"/>
      <c r="VW72" s="68"/>
      <c r="VX72" s="68"/>
      <c r="VY72" s="68"/>
      <c r="VZ72" s="68"/>
      <c r="WA72" s="68"/>
      <c r="WB72" s="68"/>
      <c r="WC72" s="68"/>
      <c r="WD72" s="68"/>
      <c r="WE72" s="68"/>
      <c r="WF72" s="68"/>
      <c r="WG72" s="68"/>
      <c r="WH72" s="68"/>
      <c r="WI72" s="68"/>
      <c r="WJ72" s="68"/>
      <c r="WK72" s="68"/>
      <c r="WL72" s="68"/>
      <c r="WM72" s="68"/>
      <c r="WN72" s="68"/>
      <c r="WO72" s="68"/>
      <c r="WP72" s="68"/>
      <c r="WQ72" s="68"/>
      <c r="WR72" s="68"/>
      <c r="WS72" s="68"/>
      <c r="WT72" s="68"/>
      <c r="WU72" s="68"/>
      <c r="WV72" s="68"/>
      <c r="WW72" s="68"/>
      <c r="WX72" s="68"/>
      <c r="WY72" s="68"/>
      <c r="WZ72" s="68"/>
      <c r="XA72" s="68"/>
      <c r="XB72" s="68"/>
      <c r="XC72" s="68"/>
      <c r="XD72" s="68"/>
      <c r="XE72" s="68"/>
      <c r="XF72" s="68"/>
      <c r="XG72" s="68"/>
      <c r="XH72" s="68"/>
      <c r="XI72" s="68"/>
      <c r="XJ72" s="68"/>
      <c r="XK72" s="68"/>
      <c r="XL72" s="68"/>
      <c r="XM72" s="68"/>
      <c r="XN72" s="68"/>
      <c r="XO72" s="68"/>
      <c r="XP72" s="68"/>
      <c r="XQ72" s="68"/>
      <c r="XR72" s="68"/>
      <c r="XS72" s="68"/>
      <c r="XT72" s="68"/>
      <c r="XU72" s="68"/>
      <c r="XV72" s="68"/>
      <c r="XW72" s="68"/>
      <c r="XX72" s="68"/>
      <c r="XY72" s="68"/>
      <c r="XZ72" s="68"/>
      <c r="YA72" s="68"/>
      <c r="YB72" s="68"/>
      <c r="YC72" s="68"/>
      <c r="YD72" s="68"/>
      <c r="YE72" s="68"/>
      <c r="YF72" s="68"/>
      <c r="YG72" s="68"/>
      <c r="YH72" s="68"/>
      <c r="YI72" s="68"/>
      <c r="YJ72" s="68"/>
      <c r="YK72" s="68"/>
      <c r="YL72" s="68"/>
      <c r="YM72" s="68"/>
      <c r="YN72" s="68"/>
      <c r="YO72" s="68"/>
      <c r="YP72" s="68"/>
      <c r="YQ72" s="68"/>
      <c r="YR72" s="68"/>
      <c r="YS72" s="68"/>
      <c r="YT72" s="68"/>
      <c r="YU72" s="68"/>
      <c r="YV72" s="68"/>
      <c r="YW72" s="68"/>
      <c r="YX72" s="68"/>
      <c r="YY72" s="68"/>
      <c r="YZ72" s="68"/>
      <c r="ZA72" s="68"/>
      <c r="ZB72" s="68"/>
      <c r="ZC72" s="68"/>
      <c r="ZD72" s="68"/>
      <c r="ZE72" s="68"/>
      <c r="ZF72" s="68"/>
      <c r="ZG72" s="68"/>
      <c r="ZH72" s="68"/>
      <c r="ZI72" s="68"/>
      <c r="ZJ72" s="68"/>
      <c r="ZK72" s="68"/>
      <c r="ZL72" s="68"/>
      <c r="ZM72" s="68"/>
      <c r="ZN72" s="68"/>
      <c r="ZO72" s="68"/>
      <c r="ZP72" s="68"/>
      <c r="ZQ72" s="68"/>
      <c r="ZR72" s="68"/>
      <c r="ZS72" s="68"/>
      <c r="ZT72" s="68"/>
      <c r="ZU72" s="68"/>
      <c r="ZV72" s="68"/>
      <c r="ZW72" s="68"/>
      <c r="ZX72" s="68"/>
      <c r="ZY72" s="68"/>
      <c r="ZZ72" s="68"/>
      <c r="AAA72" s="68"/>
      <c r="AAB72" s="68"/>
      <c r="AAC72" s="68"/>
      <c r="AAD72" s="68"/>
      <c r="AAE72" s="68"/>
      <c r="AAF72" s="68"/>
      <c r="AAG72" s="68"/>
      <c r="AAH72" s="68"/>
      <c r="AAI72" s="68"/>
      <c r="AAJ72" s="68"/>
      <c r="AAK72" s="68"/>
      <c r="AAL72" s="68"/>
      <c r="AAM72" s="68"/>
      <c r="AAN72" s="68"/>
      <c r="AAO72" s="68"/>
      <c r="AAP72" s="68"/>
      <c r="AAQ72" s="68"/>
      <c r="AAR72" s="68"/>
      <c r="AAS72" s="68"/>
      <c r="AAT72" s="68"/>
      <c r="AAU72" s="68"/>
      <c r="AAV72" s="68"/>
      <c r="AAW72" s="68"/>
      <c r="AAX72" s="68"/>
      <c r="AAY72" s="68"/>
      <c r="AAZ72" s="68"/>
      <c r="ABA72" s="68"/>
      <c r="ABB72" s="68"/>
      <c r="ABC72" s="68"/>
      <c r="ABD72" s="68"/>
      <c r="ABE72" s="68"/>
      <c r="ABF72" s="68"/>
      <c r="ABG72" s="68"/>
      <c r="ABH72" s="68"/>
      <c r="ABI72" s="68"/>
      <c r="ABJ72" s="68"/>
      <c r="ABK72" s="68"/>
      <c r="ABL72" s="68"/>
      <c r="ABM72" s="68"/>
      <c r="ABN72" s="68"/>
      <c r="ABO72" s="68"/>
      <c r="ABP72" s="68"/>
      <c r="ABQ72" s="68"/>
      <c r="ABR72" s="68"/>
      <c r="ABS72" s="68"/>
      <c r="ABT72" s="68"/>
      <c r="ABU72" s="68"/>
      <c r="ABV72" s="68"/>
      <c r="ABW72" s="68"/>
      <c r="ABX72" s="68"/>
      <c r="ABY72" s="68"/>
      <c r="ABZ72" s="68"/>
      <c r="ACA72" s="68"/>
      <c r="ACB72" s="68"/>
      <c r="ACC72" s="68"/>
      <c r="ACD72" s="68"/>
      <c r="ACE72" s="68"/>
      <c r="ACF72" s="68"/>
      <c r="ACG72" s="68"/>
      <c r="ACH72" s="68"/>
      <c r="ACI72" s="68"/>
      <c r="ACJ72" s="68"/>
      <c r="ACK72" s="68"/>
      <c r="ACL72" s="68"/>
      <c r="ACM72" s="68"/>
      <c r="ACN72" s="68"/>
      <c r="ACO72" s="68"/>
      <c r="ACP72" s="68"/>
      <c r="ACQ72" s="68"/>
      <c r="ACR72" s="68"/>
      <c r="ACS72" s="68"/>
      <c r="ACT72" s="68"/>
      <c r="ACU72" s="68"/>
      <c r="ACV72" s="68"/>
      <c r="ACW72" s="68"/>
      <c r="ACX72" s="68"/>
      <c r="ACY72" s="68"/>
      <c r="ACZ72" s="68"/>
      <c r="ADA72" s="68"/>
      <c r="ADB72" s="68"/>
      <c r="ADC72" s="68"/>
      <c r="ADD72" s="68"/>
      <c r="ADE72" s="68"/>
      <c r="ADF72" s="68"/>
      <c r="ADG72" s="68"/>
      <c r="ADH72" s="68"/>
      <c r="ADI72" s="68"/>
      <c r="ADJ72" s="68"/>
      <c r="ADK72" s="68"/>
      <c r="ADL72" s="68"/>
      <c r="ADM72" s="68"/>
      <c r="ADN72" s="68"/>
      <c r="ADO72" s="68"/>
      <c r="ADP72" s="68"/>
      <c r="ADQ72" s="68"/>
      <c r="ADR72" s="68"/>
      <c r="ADS72" s="68"/>
      <c r="ADT72" s="68"/>
      <c r="ADU72" s="68"/>
      <c r="ADV72" s="68"/>
      <c r="ADW72" s="68"/>
      <c r="ADX72" s="68"/>
      <c r="ADY72" s="68"/>
      <c r="ADZ72" s="68"/>
      <c r="AEA72" s="68"/>
      <c r="AEB72" s="68"/>
      <c r="AEC72" s="68"/>
      <c r="AED72" s="68"/>
      <c r="AEE72" s="68"/>
      <c r="AEF72" s="68"/>
      <c r="AEG72" s="68"/>
      <c r="AEH72" s="68"/>
      <c r="AEI72" s="68"/>
      <c r="AEJ72" s="68"/>
      <c r="AEK72" s="68"/>
      <c r="AEL72" s="68"/>
      <c r="AEM72" s="68"/>
      <c r="AEN72" s="68"/>
      <c r="AEO72" s="68"/>
      <c r="AEP72" s="68"/>
      <c r="AEQ72" s="68"/>
      <c r="AER72" s="68"/>
      <c r="AES72" s="68"/>
      <c r="AET72" s="68"/>
      <c r="AEU72" s="68"/>
      <c r="AEV72" s="68"/>
      <c r="AEW72" s="68"/>
      <c r="AEX72" s="68"/>
      <c r="AEY72" s="68"/>
      <c r="AEZ72" s="68"/>
      <c r="AFA72" s="68"/>
      <c r="AFB72" s="68"/>
      <c r="AFC72" s="68"/>
      <c r="AFD72" s="68"/>
      <c r="AFE72" s="68"/>
      <c r="AFF72" s="68"/>
      <c r="AFG72" s="68"/>
      <c r="AFH72" s="68"/>
      <c r="AFI72" s="68"/>
      <c r="AFJ72" s="68"/>
      <c r="AFK72" s="68"/>
      <c r="AFL72" s="68"/>
      <c r="AFM72" s="68"/>
      <c r="AFN72" s="68"/>
      <c r="AFO72" s="68"/>
      <c r="AFP72" s="68"/>
      <c r="AFQ72" s="68"/>
      <c r="AFR72" s="68"/>
      <c r="AFS72" s="68"/>
      <c r="AFT72" s="68"/>
      <c r="AFU72" s="68"/>
      <c r="AFV72" s="68"/>
      <c r="AFW72" s="68"/>
      <c r="AFX72" s="68"/>
      <c r="AFY72" s="68"/>
      <c r="AFZ72" s="68"/>
      <c r="AGA72" s="68"/>
      <c r="AGB72" s="68"/>
      <c r="AGC72" s="68"/>
      <c r="AGD72" s="68"/>
      <c r="AGE72" s="68"/>
      <c r="AGF72" s="68"/>
      <c r="AGG72" s="68"/>
      <c r="AGH72" s="68"/>
      <c r="AGI72" s="68"/>
      <c r="AGJ72" s="68"/>
      <c r="AGK72" s="68"/>
      <c r="AGL72" s="68"/>
      <c r="AGM72" s="68"/>
      <c r="AGN72" s="68"/>
      <c r="AGO72" s="68"/>
      <c r="AGP72" s="68"/>
      <c r="AGQ72" s="68"/>
      <c r="AGR72" s="68"/>
      <c r="AGS72" s="68"/>
      <c r="AGT72" s="68"/>
      <c r="AGU72" s="68"/>
      <c r="AGV72" s="68"/>
      <c r="AGW72" s="68"/>
      <c r="AGX72" s="68"/>
      <c r="AGY72" s="68"/>
      <c r="AGZ72" s="68"/>
      <c r="AHA72" s="68"/>
      <c r="AHB72" s="68"/>
      <c r="AHC72" s="68"/>
      <c r="AHD72" s="68"/>
      <c r="AHE72" s="68"/>
      <c r="AHF72" s="68"/>
      <c r="AHG72" s="68"/>
      <c r="AHH72" s="68"/>
      <c r="AHI72" s="68"/>
      <c r="AHJ72" s="68"/>
      <c r="AHK72" s="68"/>
      <c r="AHL72" s="68"/>
      <c r="AHM72" s="68"/>
      <c r="AHN72" s="68"/>
      <c r="AHO72" s="68"/>
      <c r="AHP72" s="68"/>
      <c r="AHQ72" s="68"/>
      <c r="AHR72" s="68"/>
      <c r="AHS72" s="68"/>
      <c r="AHT72" s="68"/>
      <c r="AHU72" s="68"/>
      <c r="AHV72" s="68"/>
      <c r="AHW72" s="68"/>
      <c r="AHX72" s="68"/>
      <c r="AHY72" s="68"/>
      <c r="AHZ72" s="68"/>
      <c r="AIA72" s="68"/>
      <c r="AIB72" s="68"/>
      <c r="AIC72" s="68"/>
      <c r="AID72" s="68"/>
      <c r="AIE72" s="68"/>
      <c r="AIF72" s="68"/>
      <c r="AIG72" s="68"/>
      <c r="AIH72" s="68"/>
      <c r="AII72" s="68"/>
      <c r="AIJ72" s="68"/>
      <c r="AIK72" s="68"/>
      <c r="AIL72" s="68"/>
      <c r="AIM72" s="68"/>
      <c r="AIN72" s="68"/>
      <c r="AIO72" s="68"/>
      <c r="AIP72" s="68"/>
      <c r="AIQ72" s="68"/>
      <c r="AIR72" s="68"/>
      <c r="AIS72" s="68"/>
      <c r="AIT72" s="68"/>
      <c r="AIU72" s="68"/>
      <c r="AIV72" s="68"/>
      <c r="AIW72" s="68"/>
      <c r="AIX72" s="68"/>
      <c r="AIY72" s="68"/>
      <c r="AIZ72" s="68"/>
      <c r="AJA72" s="68"/>
      <c r="AJB72" s="68"/>
      <c r="AJC72" s="68"/>
    </row>
    <row r="73" spans="1:939" s="36" customFormat="1" ht="77.25" customHeight="1" outlineLevel="1" x14ac:dyDescent="0.25">
      <c r="A73" s="99">
        <v>41</v>
      </c>
      <c r="B73" s="100" t="s">
        <v>124</v>
      </c>
      <c r="C73" s="101" t="s">
        <v>107</v>
      </c>
      <c r="D73" s="101" t="s">
        <v>106</v>
      </c>
      <c r="E73" s="101"/>
      <c r="F73" s="101"/>
      <c r="G73" s="101"/>
      <c r="H73" s="101"/>
      <c r="I73" s="101"/>
      <c r="J73" s="101"/>
      <c r="K73" s="101" t="s">
        <v>135</v>
      </c>
      <c r="L73" s="101" t="s">
        <v>231</v>
      </c>
      <c r="M73" s="102" t="s">
        <v>26</v>
      </c>
      <c r="N73" s="22">
        <v>361332</v>
      </c>
      <c r="O73" s="22">
        <f t="shared" ref="O73:O78" si="12">IF(M73=$B$150,N73,IF(M73=$B$152,N73*$C$152/$C$150,IF(M73=$B$151,N73*$C$151/$C$150,IF(M73=$B$149,N73/$C$150))))</f>
        <v>361332</v>
      </c>
      <c r="P73" s="22">
        <v>361332</v>
      </c>
      <c r="Q73" s="103">
        <v>7.7700000000000005E-2</v>
      </c>
      <c r="R73" s="202">
        <f>162402.753184719+8510000/490.37+(1000000+1000000+500000)/395.19+10099.73+2000000/388.3+2000000/388.21</f>
        <v>206485.30441435592</v>
      </c>
      <c r="S73" s="22">
        <f>187530</f>
        <v>187530</v>
      </c>
      <c r="T73" s="104">
        <f>P73-R73</f>
        <v>154846.69558564408</v>
      </c>
      <c r="U73" s="105">
        <f t="shared" ref="U73:U78" si="13">IF(M73=$B$150,T73,IF(M73=$B$152,T73*$C$152/$C$150,IF(M73=$B$151,T73*$C$151/$C$150,IF(M73=$B$149,T73/$C$150))))</f>
        <v>154846.69558564408</v>
      </c>
      <c r="V73" s="106" t="s">
        <v>127</v>
      </c>
      <c r="W73" s="107" t="s">
        <v>372</v>
      </c>
      <c r="X73" s="34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  <c r="QR73" s="35"/>
      <c r="QS73" s="35"/>
      <c r="QT73" s="35"/>
      <c r="QU73" s="35"/>
      <c r="QV73" s="35"/>
      <c r="QW73" s="35"/>
      <c r="QX73" s="35"/>
      <c r="QY73" s="35"/>
      <c r="QZ73" s="35"/>
      <c r="RA73" s="35"/>
      <c r="RB73" s="35"/>
      <c r="RC73" s="35"/>
      <c r="RD73" s="35"/>
      <c r="RE73" s="35"/>
      <c r="RF73" s="35"/>
      <c r="RG73" s="35"/>
      <c r="RH73" s="35"/>
      <c r="RI73" s="35"/>
      <c r="RJ73" s="35"/>
      <c r="RK73" s="35"/>
      <c r="RL73" s="35"/>
      <c r="RM73" s="35"/>
      <c r="RN73" s="35"/>
      <c r="RO73" s="35"/>
      <c r="RP73" s="35"/>
      <c r="RQ73" s="35"/>
      <c r="RR73" s="35"/>
      <c r="RS73" s="35"/>
      <c r="RT73" s="35"/>
      <c r="RU73" s="35"/>
      <c r="RV73" s="35"/>
      <c r="RW73" s="35"/>
      <c r="RX73" s="35"/>
      <c r="RY73" s="35"/>
      <c r="RZ73" s="35"/>
      <c r="SA73" s="35"/>
      <c r="SB73" s="35"/>
      <c r="SC73" s="35"/>
      <c r="SD73" s="35"/>
      <c r="SE73" s="35"/>
      <c r="SF73" s="35"/>
      <c r="SG73" s="35"/>
      <c r="SH73" s="35"/>
      <c r="SI73" s="35"/>
      <c r="SJ73" s="35"/>
      <c r="SK73" s="35"/>
      <c r="SL73" s="35"/>
      <c r="SM73" s="35"/>
      <c r="SN73" s="35"/>
      <c r="SO73" s="35"/>
      <c r="SP73" s="35"/>
      <c r="SQ73" s="35"/>
      <c r="SR73" s="35"/>
      <c r="SS73" s="35"/>
      <c r="ST73" s="35"/>
      <c r="SU73" s="35"/>
      <c r="SV73" s="35"/>
      <c r="SW73" s="35"/>
      <c r="SX73" s="35"/>
      <c r="SY73" s="35"/>
      <c r="SZ73" s="35"/>
      <c r="TA73" s="35"/>
      <c r="TB73" s="35"/>
      <c r="TC73" s="35"/>
      <c r="TD73" s="35"/>
      <c r="TE73" s="35"/>
      <c r="TF73" s="35"/>
      <c r="TG73" s="35"/>
      <c r="TH73" s="35"/>
      <c r="TI73" s="35"/>
      <c r="TJ73" s="35"/>
      <c r="TK73" s="35"/>
      <c r="TL73" s="35"/>
      <c r="TM73" s="35"/>
      <c r="TN73" s="35"/>
      <c r="TO73" s="35"/>
      <c r="TP73" s="35"/>
      <c r="TQ73" s="35"/>
      <c r="TR73" s="35"/>
      <c r="TS73" s="35"/>
      <c r="TT73" s="35"/>
      <c r="TU73" s="35"/>
      <c r="TV73" s="35"/>
      <c r="TW73" s="35"/>
      <c r="TX73" s="35"/>
      <c r="TY73" s="35"/>
      <c r="TZ73" s="35"/>
      <c r="UA73" s="35"/>
      <c r="UB73" s="35"/>
      <c r="UC73" s="35"/>
      <c r="UD73" s="35"/>
      <c r="UE73" s="35"/>
      <c r="UF73" s="35"/>
      <c r="UG73" s="35"/>
      <c r="UH73" s="35"/>
      <c r="UI73" s="35"/>
      <c r="UJ73" s="35"/>
      <c r="UK73" s="35"/>
      <c r="UL73" s="35"/>
      <c r="UM73" s="35"/>
      <c r="UN73" s="35"/>
      <c r="UO73" s="35"/>
      <c r="UP73" s="35"/>
      <c r="UQ73" s="35"/>
      <c r="UR73" s="35"/>
      <c r="US73" s="35"/>
      <c r="UT73" s="35"/>
      <c r="UU73" s="35"/>
      <c r="UV73" s="35"/>
      <c r="UW73" s="35"/>
      <c r="UX73" s="35"/>
      <c r="UY73" s="35"/>
      <c r="UZ73" s="35"/>
      <c r="VA73" s="35"/>
      <c r="VB73" s="35"/>
      <c r="VC73" s="35"/>
      <c r="VD73" s="35"/>
      <c r="VE73" s="35"/>
      <c r="VF73" s="35"/>
      <c r="VG73" s="35"/>
      <c r="VH73" s="35"/>
      <c r="VI73" s="35"/>
      <c r="VJ73" s="35"/>
      <c r="VK73" s="35"/>
      <c r="VL73" s="35"/>
      <c r="VM73" s="35"/>
      <c r="VN73" s="35"/>
      <c r="VO73" s="35"/>
      <c r="VP73" s="35"/>
      <c r="VQ73" s="35"/>
      <c r="VR73" s="35"/>
      <c r="VS73" s="35"/>
      <c r="VT73" s="35"/>
      <c r="VU73" s="35"/>
      <c r="VV73" s="35"/>
      <c r="VW73" s="35"/>
      <c r="VX73" s="35"/>
      <c r="VY73" s="35"/>
      <c r="VZ73" s="35"/>
      <c r="WA73" s="35"/>
      <c r="WB73" s="35"/>
      <c r="WC73" s="35"/>
      <c r="WD73" s="35"/>
      <c r="WE73" s="35"/>
      <c r="WF73" s="35"/>
      <c r="WG73" s="35"/>
      <c r="WH73" s="35"/>
      <c r="WI73" s="35"/>
      <c r="WJ73" s="35"/>
      <c r="WK73" s="35"/>
      <c r="WL73" s="35"/>
      <c r="WM73" s="35"/>
      <c r="WN73" s="35"/>
      <c r="WO73" s="35"/>
      <c r="WP73" s="35"/>
      <c r="WQ73" s="35"/>
      <c r="WR73" s="35"/>
      <c r="WS73" s="35"/>
      <c r="WT73" s="35"/>
      <c r="WU73" s="35"/>
      <c r="WV73" s="35"/>
      <c r="WW73" s="35"/>
      <c r="WX73" s="35"/>
      <c r="WY73" s="35"/>
      <c r="WZ73" s="35"/>
      <c r="XA73" s="35"/>
      <c r="XB73" s="35"/>
      <c r="XC73" s="35"/>
      <c r="XD73" s="35"/>
      <c r="XE73" s="35"/>
      <c r="XF73" s="35"/>
      <c r="XG73" s="35"/>
      <c r="XH73" s="35"/>
      <c r="XI73" s="35"/>
      <c r="XJ73" s="35"/>
      <c r="XK73" s="35"/>
      <c r="XL73" s="35"/>
      <c r="XM73" s="35"/>
      <c r="XN73" s="35"/>
      <c r="XO73" s="35"/>
      <c r="XP73" s="35"/>
      <c r="XQ73" s="35"/>
      <c r="XR73" s="35"/>
      <c r="XS73" s="35"/>
      <c r="XT73" s="35"/>
      <c r="XU73" s="35"/>
      <c r="XV73" s="35"/>
      <c r="XW73" s="35"/>
      <c r="XX73" s="35"/>
      <c r="XY73" s="35"/>
      <c r="XZ73" s="35"/>
      <c r="YA73" s="35"/>
      <c r="YB73" s="35"/>
      <c r="YC73" s="35"/>
      <c r="YD73" s="35"/>
      <c r="YE73" s="35"/>
      <c r="YF73" s="35"/>
      <c r="YG73" s="35"/>
      <c r="YH73" s="35"/>
      <c r="YI73" s="35"/>
      <c r="YJ73" s="35"/>
      <c r="YK73" s="35"/>
      <c r="YL73" s="35"/>
      <c r="YM73" s="35"/>
      <c r="YN73" s="35"/>
      <c r="YO73" s="35"/>
      <c r="YP73" s="35"/>
      <c r="YQ73" s="35"/>
      <c r="YR73" s="35"/>
      <c r="YS73" s="35"/>
      <c r="YT73" s="35"/>
      <c r="YU73" s="35"/>
      <c r="YV73" s="35"/>
      <c r="YW73" s="35"/>
      <c r="YX73" s="35"/>
      <c r="YY73" s="35"/>
      <c r="YZ73" s="35"/>
      <c r="ZA73" s="35"/>
      <c r="ZB73" s="35"/>
      <c r="ZC73" s="35"/>
      <c r="ZD73" s="35"/>
      <c r="ZE73" s="35"/>
      <c r="ZF73" s="35"/>
      <c r="ZG73" s="35"/>
      <c r="ZH73" s="35"/>
      <c r="ZI73" s="35"/>
      <c r="ZJ73" s="35"/>
      <c r="ZK73" s="35"/>
      <c r="ZL73" s="35"/>
      <c r="ZM73" s="35"/>
      <c r="ZN73" s="35"/>
      <c r="ZO73" s="35"/>
      <c r="ZP73" s="35"/>
      <c r="ZQ73" s="35"/>
      <c r="ZR73" s="35"/>
      <c r="ZS73" s="35"/>
      <c r="ZT73" s="35"/>
      <c r="ZU73" s="35"/>
      <c r="ZV73" s="35"/>
      <c r="ZW73" s="35"/>
      <c r="ZX73" s="35"/>
      <c r="ZY73" s="35"/>
      <c r="ZZ73" s="35"/>
      <c r="AAA73" s="35"/>
      <c r="AAB73" s="35"/>
      <c r="AAC73" s="35"/>
      <c r="AAD73" s="35"/>
      <c r="AAE73" s="35"/>
      <c r="AAF73" s="35"/>
      <c r="AAG73" s="35"/>
      <c r="AAH73" s="35"/>
      <c r="AAI73" s="35"/>
      <c r="AAJ73" s="35"/>
      <c r="AAK73" s="35"/>
      <c r="AAL73" s="35"/>
      <c r="AAM73" s="35"/>
      <c r="AAN73" s="35"/>
      <c r="AAO73" s="35"/>
      <c r="AAP73" s="35"/>
      <c r="AAQ73" s="35"/>
      <c r="AAR73" s="35"/>
      <c r="AAS73" s="35"/>
      <c r="AAT73" s="35"/>
      <c r="AAU73" s="35"/>
      <c r="AAV73" s="35"/>
      <c r="AAW73" s="35"/>
      <c r="AAX73" s="35"/>
      <c r="AAY73" s="35"/>
      <c r="AAZ73" s="35"/>
      <c r="ABA73" s="35"/>
      <c r="ABB73" s="35"/>
      <c r="ABC73" s="35"/>
      <c r="ABD73" s="35"/>
      <c r="ABE73" s="35"/>
      <c r="ABF73" s="35"/>
      <c r="ABG73" s="35"/>
      <c r="ABH73" s="35"/>
      <c r="ABI73" s="35"/>
      <c r="ABJ73" s="35"/>
      <c r="ABK73" s="35"/>
      <c r="ABL73" s="35"/>
      <c r="ABM73" s="35"/>
      <c r="ABN73" s="35"/>
      <c r="ABO73" s="35"/>
      <c r="ABP73" s="35"/>
      <c r="ABQ73" s="35"/>
      <c r="ABR73" s="35"/>
      <c r="ABS73" s="35"/>
      <c r="ABT73" s="35"/>
      <c r="ABU73" s="35"/>
      <c r="ABV73" s="35"/>
      <c r="ABW73" s="35"/>
      <c r="ABX73" s="35"/>
      <c r="ABY73" s="35"/>
      <c r="ABZ73" s="35"/>
      <c r="ACA73" s="35"/>
      <c r="ACB73" s="35"/>
      <c r="ACC73" s="35"/>
      <c r="ACD73" s="35"/>
      <c r="ACE73" s="35"/>
      <c r="ACF73" s="35"/>
      <c r="ACG73" s="35"/>
      <c r="ACH73" s="35"/>
      <c r="ACI73" s="35"/>
      <c r="ACJ73" s="35"/>
      <c r="ACK73" s="35"/>
      <c r="ACL73" s="35"/>
      <c r="ACM73" s="35"/>
      <c r="ACN73" s="35"/>
      <c r="ACO73" s="35"/>
      <c r="ACP73" s="35"/>
      <c r="ACQ73" s="35"/>
      <c r="ACR73" s="35"/>
      <c r="ACS73" s="35"/>
      <c r="ACT73" s="35"/>
      <c r="ACU73" s="35"/>
      <c r="ACV73" s="35"/>
      <c r="ACW73" s="35"/>
      <c r="ACX73" s="35"/>
      <c r="ACY73" s="35"/>
      <c r="ACZ73" s="35"/>
      <c r="ADA73" s="35"/>
      <c r="ADB73" s="35"/>
      <c r="ADC73" s="35"/>
      <c r="ADD73" s="35"/>
      <c r="ADE73" s="35"/>
      <c r="ADF73" s="35"/>
      <c r="ADG73" s="35"/>
      <c r="ADH73" s="35"/>
      <c r="ADI73" s="35"/>
      <c r="ADJ73" s="35"/>
      <c r="ADK73" s="35"/>
      <c r="ADL73" s="35"/>
      <c r="ADM73" s="35"/>
      <c r="ADN73" s="35"/>
      <c r="ADO73" s="35"/>
      <c r="ADP73" s="35"/>
      <c r="ADQ73" s="35"/>
      <c r="ADR73" s="35"/>
      <c r="ADS73" s="35"/>
      <c r="ADT73" s="35"/>
      <c r="ADU73" s="35"/>
      <c r="ADV73" s="35"/>
      <c r="ADW73" s="35"/>
      <c r="ADX73" s="35"/>
      <c r="ADY73" s="35"/>
      <c r="ADZ73" s="35"/>
      <c r="AEA73" s="35"/>
      <c r="AEB73" s="35"/>
      <c r="AEC73" s="35"/>
      <c r="AED73" s="35"/>
      <c r="AEE73" s="35"/>
      <c r="AEF73" s="35"/>
      <c r="AEG73" s="35"/>
      <c r="AEH73" s="35"/>
      <c r="AEI73" s="35"/>
      <c r="AEJ73" s="35"/>
      <c r="AEK73" s="35"/>
      <c r="AEL73" s="35"/>
      <c r="AEM73" s="35"/>
      <c r="AEN73" s="35"/>
      <c r="AEO73" s="35"/>
      <c r="AEP73" s="35"/>
      <c r="AEQ73" s="35"/>
      <c r="AER73" s="35"/>
      <c r="AES73" s="35"/>
      <c r="AET73" s="35"/>
      <c r="AEU73" s="35"/>
      <c r="AEV73" s="35"/>
      <c r="AEW73" s="35"/>
      <c r="AEX73" s="35"/>
      <c r="AEY73" s="35"/>
      <c r="AEZ73" s="35"/>
      <c r="AFA73" s="35"/>
      <c r="AFB73" s="35"/>
      <c r="AFC73" s="35"/>
      <c r="AFD73" s="35"/>
      <c r="AFE73" s="35"/>
      <c r="AFF73" s="35"/>
      <c r="AFG73" s="35"/>
      <c r="AFH73" s="35"/>
      <c r="AFI73" s="35"/>
      <c r="AFJ73" s="35"/>
      <c r="AFK73" s="35"/>
      <c r="AFL73" s="35"/>
      <c r="AFM73" s="35"/>
      <c r="AFN73" s="35"/>
      <c r="AFO73" s="35"/>
      <c r="AFP73" s="35"/>
      <c r="AFQ73" s="35"/>
      <c r="AFR73" s="35"/>
      <c r="AFS73" s="35"/>
      <c r="AFT73" s="35"/>
      <c r="AFU73" s="35"/>
      <c r="AFV73" s="35"/>
      <c r="AFW73" s="35"/>
      <c r="AFX73" s="35"/>
      <c r="AFY73" s="35"/>
      <c r="AFZ73" s="35"/>
      <c r="AGA73" s="35"/>
      <c r="AGB73" s="35"/>
      <c r="AGC73" s="35"/>
      <c r="AGD73" s="35"/>
      <c r="AGE73" s="35"/>
      <c r="AGF73" s="35"/>
      <c r="AGG73" s="35"/>
      <c r="AGH73" s="35"/>
      <c r="AGI73" s="35"/>
      <c r="AGJ73" s="35"/>
      <c r="AGK73" s="35"/>
      <c r="AGL73" s="35"/>
      <c r="AGM73" s="35"/>
      <c r="AGN73" s="35"/>
      <c r="AGO73" s="35"/>
      <c r="AGP73" s="35"/>
      <c r="AGQ73" s="35"/>
      <c r="AGR73" s="35"/>
      <c r="AGS73" s="35"/>
      <c r="AGT73" s="35"/>
      <c r="AGU73" s="35"/>
      <c r="AGV73" s="35"/>
      <c r="AGW73" s="35"/>
      <c r="AGX73" s="35"/>
      <c r="AGY73" s="35"/>
      <c r="AGZ73" s="35"/>
      <c r="AHA73" s="35"/>
      <c r="AHB73" s="35"/>
      <c r="AHC73" s="35"/>
      <c r="AHD73" s="35"/>
      <c r="AHE73" s="35"/>
      <c r="AHF73" s="35"/>
      <c r="AHG73" s="35"/>
      <c r="AHH73" s="35"/>
      <c r="AHI73" s="35"/>
      <c r="AHJ73" s="35"/>
      <c r="AHK73" s="35"/>
      <c r="AHL73" s="35"/>
      <c r="AHM73" s="35"/>
      <c r="AHN73" s="35"/>
      <c r="AHO73" s="35"/>
      <c r="AHP73" s="35"/>
      <c r="AHQ73" s="35"/>
      <c r="AHR73" s="35"/>
      <c r="AHS73" s="35"/>
      <c r="AHT73" s="35"/>
      <c r="AHU73" s="35"/>
      <c r="AHV73" s="35"/>
      <c r="AHW73" s="35"/>
      <c r="AHX73" s="35"/>
      <c r="AHY73" s="35"/>
      <c r="AHZ73" s="35"/>
      <c r="AIA73" s="35"/>
      <c r="AIB73" s="35"/>
      <c r="AIC73" s="35"/>
      <c r="AID73" s="35"/>
      <c r="AIE73" s="35"/>
      <c r="AIF73" s="35"/>
      <c r="AIG73" s="35"/>
      <c r="AIH73" s="35"/>
      <c r="AII73" s="35"/>
      <c r="AIJ73" s="35"/>
      <c r="AIK73" s="35"/>
      <c r="AIL73" s="35"/>
      <c r="AIM73" s="35"/>
      <c r="AIN73" s="35"/>
      <c r="AIO73" s="35"/>
      <c r="AIP73" s="35"/>
      <c r="AIQ73" s="35"/>
      <c r="AIR73" s="35"/>
      <c r="AIS73" s="35"/>
      <c r="AIT73" s="35"/>
      <c r="AIU73" s="35"/>
      <c r="AIV73" s="35"/>
      <c r="AIW73" s="35"/>
      <c r="AIX73" s="35"/>
      <c r="AIY73" s="35"/>
      <c r="AIZ73" s="35"/>
      <c r="AJA73" s="35"/>
      <c r="AJB73" s="35"/>
      <c r="AJC73" s="35"/>
    </row>
    <row r="74" spans="1:939" s="4" customFormat="1" ht="64.5" customHeight="1" outlineLevel="1" x14ac:dyDescent="0.25">
      <c r="A74" s="203">
        <v>42</v>
      </c>
      <c r="B74" s="204" t="s">
        <v>219</v>
      </c>
      <c r="C74" s="205" t="s">
        <v>238</v>
      </c>
      <c r="D74" s="229" t="s">
        <v>52</v>
      </c>
      <c r="E74" s="207"/>
      <c r="F74" s="207"/>
      <c r="G74" s="207"/>
      <c r="H74" s="207"/>
      <c r="I74" s="207"/>
      <c r="J74" s="207"/>
      <c r="K74" s="230" t="s">
        <v>220</v>
      </c>
      <c r="L74" s="209" t="s">
        <v>221</v>
      </c>
      <c r="M74" s="231" t="s">
        <v>30</v>
      </c>
      <c r="N74" s="209">
        <v>8000000</v>
      </c>
      <c r="O74" s="209">
        <f t="shared" si="12"/>
        <v>8851997.331949899</v>
      </c>
      <c r="P74" s="209">
        <v>80000</v>
      </c>
      <c r="Q74" s="232" t="s">
        <v>98</v>
      </c>
      <c r="R74" s="209">
        <f>10909.09+3636.36+3636.36+1428217/392.76+1554016/427.35+3636.4</f>
        <v>29090.971703756208</v>
      </c>
      <c r="S74" s="209">
        <f>105386.95+361.72+42360.02+4761284/392.76+5116448/427.35+12019.8</f>
        <v>184223.61988818215</v>
      </c>
      <c r="T74" s="218">
        <f>P74-R74</f>
        <v>50909.028296243792</v>
      </c>
      <c r="U74" s="211">
        <f t="shared" si="13"/>
        <v>56330.822831313999</v>
      </c>
      <c r="V74" s="228" t="s">
        <v>222</v>
      </c>
      <c r="W74" s="219"/>
      <c r="X74" s="2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</row>
    <row r="75" spans="1:939" s="4" customFormat="1" ht="53.25" customHeight="1" outlineLevel="1" x14ac:dyDescent="0.25">
      <c r="A75" s="203">
        <v>43</v>
      </c>
      <c r="B75" s="204" t="s">
        <v>219</v>
      </c>
      <c r="C75" s="205" t="s">
        <v>239</v>
      </c>
      <c r="D75" s="229" t="s">
        <v>56</v>
      </c>
      <c r="E75" s="207"/>
      <c r="F75" s="207"/>
      <c r="G75" s="207"/>
      <c r="H75" s="207"/>
      <c r="I75" s="207"/>
      <c r="J75" s="207"/>
      <c r="K75" s="230" t="s">
        <v>223</v>
      </c>
      <c r="L75" s="209" t="s">
        <v>221</v>
      </c>
      <c r="M75" s="231" t="s">
        <v>30</v>
      </c>
      <c r="N75" s="209">
        <v>8000000</v>
      </c>
      <c r="O75" s="209">
        <f t="shared" si="12"/>
        <v>8851997.331949899</v>
      </c>
      <c r="P75" s="209"/>
      <c r="Q75" s="232" t="s">
        <v>98</v>
      </c>
      <c r="R75" s="209"/>
      <c r="S75" s="209"/>
      <c r="T75" s="218">
        <f>P75-R75</f>
        <v>0</v>
      </c>
      <c r="U75" s="211">
        <f t="shared" si="13"/>
        <v>0</v>
      </c>
      <c r="V75" s="228" t="s">
        <v>222</v>
      </c>
      <c r="W75" s="219"/>
      <c r="X75" s="2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</row>
    <row r="76" spans="1:939" s="4" customFormat="1" ht="53.25" customHeight="1" outlineLevel="1" x14ac:dyDescent="0.25">
      <c r="A76" s="452">
        <v>44</v>
      </c>
      <c r="B76" s="454" t="s">
        <v>274</v>
      </c>
      <c r="C76" s="456" t="s">
        <v>357</v>
      </c>
      <c r="D76" s="229"/>
      <c r="E76" s="207"/>
      <c r="F76" s="207"/>
      <c r="G76" s="207"/>
      <c r="H76" s="207"/>
      <c r="I76" s="207"/>
      <c r="J76" s="207"/>
      <c r="K76" s="230" t="s">
        <v>275</v>
      </c>
      <c r="L76" s="456" t="s">
        <v>358</v>
      </c>
      <c r="M76" s="231" t="s">
        <v>30</v>
      </c>
      <c r="N76" s="209">
        <v>5500000</v>
      </c>
      <c r="O76" s="209">
        <f t="shared" si="12"/>
        <v>6085748.1657155557</v>
      </c>
      <c r="P76" s="209">
        <f>1384955.78+492272.39+301757.1+219245.55</f>
        <v>2398230.8199999998</v>
      </c>
      <c r="Q76" s="232" t="s">
        <v>98</v>
      </c>
      <c r="R76" s="209"/>
      <c r="S76" s="209"/>
      <c r="T76" s="218">
        <f t="shared" ref="T76:T82" si="14">P76-R76</f>
        <v>2398230.8199999998</v>
      </c>
      <c r="U76" s="211">
        <f t="shared" si="13"/>
        <v>2653641.6025050022</v>
      </c>
      <c r="V76" s="228" t="s">
        <v>111</v>
      </c>
      <c r="W76" s="213" t="s">
        <v>368</v>
      </c>
      <c r="X76" s="2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</row>
    <row r="77" spans="1:939" s="4" customFormat="1" outlineLevel="1" x14ac:dyDescent="0.25">
      <c r="A77" s="453"/>
      <c r="B77" s="455"/>
      <c r="C77" s="457"/>
      <c r="D77" s="229"/>
      <c r="E77" s="207"/>
      <c r="F77" s="207"/>
      <c r="G77" s="207"/>
      <c r="H77" s="207"/>
      <c r="I77" s="207"/>
      <c r="J77" s="207"/>
      <c r="K77" s="230"/>
      <c r="L77" s="457"/>
      <c r="M77" s="206" t="s">
        <v>51</v>
      </c>
      <c r="N77" s="209">
        <v>92733053.200000003</v>
      </c>
      <c r="O77" s="209">
        <f t="shared" si="12"/>
        <v>229089.28876701498</v>
      </c>
      <c r="P77" s="209">
        <f>92733053.2+20276600+1679251+16492341.9+20399976.4+42969092+26833268.5</f>
        <v>221383583</v>
      </c>
      <c r="Q77" s="232"/>
      <c r="R77" s="209"/>
      <c r="S77" s="209"/>
      <c r="T77" s="218">
        <f t="shared" si="14"/>
        <v>221383583</v>
      </c>
      <c r="U77" s="211">
        <f t="shared" si="13"/>
        <v>546909.71367869759</v>
      </c>
      <c r="V77" s="228"/>
      <c r="W77" s="219"/>
      <c r="X77" s="2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</row>
    <row r="78" spans="1:939" s="27" customFormat="1" ht="54" outlineLevel="1" x14ac:dyDescent="0.25">
      <c r="A78" s="315">
        <v>45</v>
      </c>
      <c r="B78" s="327" t="s">
        <v>74</v>
      </c>
      <c r="C78" s="316" t="s">
        <v>129</v>
      </c>
      <c r="D78" s="316" t="s">
        <v>103</v>
      </c>
      <c r="E78" s="328"/>
      <c r="F78" s="328"/>
      <c r="G78" s="328"/>
      <c r="H78" s="328"/>
      <c r="I78" s="328"/>
      <c r="J78" s="328"/>
      <c r="K78" s="319" t="s">
        <v>68</v>
      </c>
      <c r="L78" s="7" t="s">
        <v>224</v>
      </c>
      <c r="M78" s="326" t="s">
        <v>51</v>
      </c>
      <c r="N78" s="7">
        <v>249300000</v>
      </c>
      <c r="O78" s="7">
        <f t="shared" si="12"/>
        <v>615874.89809530869</v>
      </c>
      <c r="P78" s="7">
        <v>249300000</v>
      </c>
      <c r="Q78" s="51">
        <v>1E-3</v>
      </c>
      <c r="R78" s="7">
        <f>42881892.9</f>
        <v>42881892.899999999</v>
      </c>
      <c r="S78" s="7">
        <f>528153.5</f>
        <v>528153.5</v>
      </c>
      <c r="T78" s="314">
        <f t="shared" si="14"/>
        <v>206418107.09999999</v>
      </c>
      <c r="U78" s="340">
        <f t="shared" si="13"/>
        <v>509938.75120432815</v>
      </c>
      <c r="V78" s="44" t="s">
        <v>111</v>
      </c>
      <c r="W78" s="45"/>
      <c r="X78" s="26"/>
    </row>
    <row r="79" spans="1:939" s="27" customFormat="1" ht="148.5" outlineLevel="1" x14ac:dyDescent="0.25">
      <c r="A79" s="315">
        <v>46</v>
      </c>
      <c r="B79" s="307" t="s">
        <v>192</v>
      </c>
      <c r="C79" s="309" t="s">
        <v>193</v>
      </c>
      <c r="D79" s="320" t="s">
        <v>145</v>
      </c>
      <c r="E79" s="328"/>
      <c r="F79" s="328"/>
      <c r="G79" s="328"/>
      <c r="H79" s="328"/>
      <c r="I79" s="328"/>
      <c r="J79" s="328"/>
      <c r="K79" s="330" t="s">
        <v>194</v>
      </c>
      <c r="L79" s="339" t="s">
        <v>195</v>
      </c>
      <c r="M79" s="317" t="s">
        <v>26</v>
      </c>
      <c r="N79" s="7">
        <v>4000000</v>
      </c>
      <c r="O79" s="7">
        <f>IF(M79=$B$150,N79,IF(M79=$B$152,N79*$C$152/$C$150,IF(M79=$B$151,N79*$C$151/$C$150,IF(M79=$B$153,N79*$C$153/$C$150,IF(M79=$B$149,N79/$C$150)))))</f>
        <v>4000000</v>
      </c>
      <c r="P79" s="7">
        <v>817235.07</v>
      </c>
      <c r="Q79" s="46" t="s">
        <v>98</v>
      </c>
      <c r="R79" s="7">
        <f>465353.9+34986668/397.71</f>
        <v>553324.19996731286</v>
      </c>
      <c r="S79" s="7">
        <f>188098.2+7483550/397.71</f>
        <v>206914.80003520154</v>
      </c>
      <c r="T79" s="335">
        <f>P79-R79</f>
        <v>263910.87003268709</v>
      </c>
      <c r="U79" s="7">
        <f>IF(M79=$B$150,T79,IF(M79=$B$152,T79*$C$152/$C$150,IF(M79=$B$151,T79*$C$151/$C$150,IF(M79=$B$153,T79*$C$153/$C$150,IF(M79=$B$149,T79/$C$150)))))</f>
        <v>263910.87003268709</v>
      </c>
      <c r="V79" s="309" t="s">
        <v>304</v>
      </c>
      <c r="W79" s="108"/>
      <c r="X79" s="26"/>
    </row>
    <row r="80" spans="1:939" s="215" customFormat="1" ht="40.5" outlineLevel="1" x14ac:dyDescent="0.2">
      <c r="A80" s="203">
        <v>47</v>
      </c>
      <c r="B80" s="204" t="s">
        <v>163</v>
      </c>
      <c r="C80" s="205" t="s">
        <v>101</v>
      </c>
      <c r="D80" s="206" t="s">
        <v>145</v>
      </c>
      <c r="E80" s="207" t="s">
        <v>51</v>
      </c>
      <c r="F80" s="207"/>
      <c r="G80" s="205"/>
      <c r="H80" s="205"/>
      <c r="I80" s="205"/>
      <c r="J80" s="205"/>
      <c r="K80" s="206" t="s">
        <v>109</v>
      </c>
      <c r="L80" s="206" t="s">
        <v>393</v>
      </c>
      <c r="M80" s="206" t="s">
        <v>51</v>
      </c>
      <c r="N80" s="208">
        <v>50600000</v>
      </c>
      <c r="O80" s="209">
        <f t="shared" ref="O80:O94" si="15">IF(M80=$B$150,N80,IF(M80=$B$152,N80*$C$152/$C$150,IF(M80=$B$151,N80*$C$151/$C$150,IF(M80=$B$149,N80/$C$150))))</f>
        <v>125003.08802094913</v>
      </c>
      <c r="P80" s="209">
        <v>50600000</v>
      </c>
      <c r="Q80" s="204" t="s">
        <v>110</v>
      </c>
      <c r="R80" s="209"/>
      <c r="S80" s="209"/>
      <c r="T80" s="208">
        <f t="shared" si="14"/>
        <v>50600000</v>
      </c>
      <c r="U80" s="211">
        <f t="shared" ref="U80:U94" si="16">IF(M80=$B$150,T80,IF(M80=$B$152,T80*$C$152/$C$150,IF(M80=$B$151,T80*$C$151/$C$150,IF(M80=$B$149,T80/$C$150))))</f>
        <v>125003.08802094913</v>
      </c>
      <c r="V80" s="228" t="s">
        <v>111</v>
      </c>
      <c r="W80" s="213" t="s">
        <v>376</v>
      </c>
      <c r="X80" s="214"/>
    </row>
    <row r="81" spans="1:939" s="215" customFormat="1" ht="40.5" outlineLevel="1" x14ac:dyDescent="0.2">
      <c r="A81" s="203">
        <v>48</v>
      </c>
      <c r="B81" s="204" t="s">
        <v>163</v>
      </c>
      <c r="C81" s="205" t="s">
        <v>101</v>
      </c>
      <c r="D81" s="206" t="s">
        <v>145</v>
      </c>
      <c r="E81" s="207" t="s">
        <v>51</v>
      </c>
      <c r="F81" s="207"/>
      <c r="G81" s="207"/>
      <c r="H81" s="207"/>
      <c r="I81" s="207"/>
      <c r="J81" s="207"/>
      <c r="K81" s="206" t="s">
        <v>112</v>
      </c>
      <c r="L81" s="206" t="s">
        <v>394</v>
      </c>
      <c r="M81" s="205" t="s">
        <v>51</v>
      </c>
      <c r="N81" s="208">
        <v>1100000000</v>
      </c>
      <c r="O81" s="209">
        <f t="shared" si="15"/>
        <v>2717458.4352380247</v>
      </c>
      <c r="P81" s="209">
        <v>1100000000</v>
      </c>
      <c r="Q81" s="204" t="s">
        <v>110</v>
      </c>
      <c r="R81" s="209"/>
      <c r="S81" s="209"/>
      <c r="T81" s="208">
        <f t="shared" si="14"/>
        <v>1100000000</v>
      </c>
      <c r="U81" s="211">
        <f t="shared" si="16"/>
        <v>2717458.4352380247</v>
      </c>
      <c r="V81" s="454" t="s">
        <v>379</v>
      </c>
      <c r="W81" s="213" t="s">
        <v>376</v>
      </c>
      <c r="X81" s="214"/>
    </row>
    <row r="82" spans="1:939" s="215" customFormat="1" ht="40.5" outlineLevel="1" x14ac:dyDescent="0.2">
      <c r="A82" s="203">
        <v>49</v>
      </c>
      <c r="B82" s="204" t="s">
        <v>163</v>
      </c>
      <c r="C82" s="205" t="s">
        <v>101</v>
      </c>
      <c r="D82" s="206" t="s">
        <v>145</v>
      </c>
      <c r="E82" s="207" t="s">
        <v>51</v>
      </c>
      <c r="F82" s="207"/>
      <c r="G82" s="207"/>
      <c r="H82" s="207"/>
      <c r="I82" s="207"/>
      <c r="J82" s="207"/>
      <c r="K82" s="206" t="s">
        <v>113</v>
      </c>
      <c r="L82" s="206" t="s">
        <v>395</v>
      </c>
      <c r="M82" s="205" t="s">
        <v>51</v>
      </c>
      <c r="N82" s="208">
        <v>792386600</v>
      </c>
      <c r="O82" s="209">
        <f t="shared" si="15"/>
        <v>1957525.1364905259</v>
      </c>
      <c r="P82" s="209">
        <v>791031693</v>
      </c>
      <c r="Q82" s="204" t="s">
        <v>110</v>
      </c>
      <c r="R82" s="209"/>
      <c r="S82" s="209"/>
      <c r="T82" s="208">
        <f t="shared" si="14"/>
        <v>791031693</v>
      </c>
      <c r="U82" s="211">
        <f t="shared" si="16"/>
        <v>1954177.951530423</v>
      </c>
      <c r="V82" s="458"/>
      <c r="W82" s="213" t="s">
        <v>376</v>
      </c>
      <c r="X82" s="214"/>
    </row>
    <row r="83" spans="1:939" s="215" customFormat="1" ht="40.5" outlineLevel="1" x14ac:dyDescent="0.2">
      <c r="A83" s="203">
        <v>50</v>
      </c>
      <c r="B83" s="204" t="s">
        <v>163</v>
      </c>
      <c r="C83" s="205" t="s">
        <v>101</v>
      </c>
      <c r="D83" s="206" t="s">
        <v>145</v>
      </c>
      <c r="E83" s="207" t="s">
        <v>51</v>
      </c>
      <c r="F83" s="207"/>
      <c r="G83" s="207"/>
      <c r="H83" s="207"/>
      <c r="I83" s="207"/>
      <c r="J83" s="207"/>
      <c r="K83" s="206" t="s">
        <v>148</v>
      </c>
      <c r="L83" s="206" t="s">
        <v>396</v>
      </c>
      <c r="M83" s="205" t="s">
        <v>51</v>
      </c>
      <c r="N83" s="208">
        <v>254672300</v>
      </c>
      <c r="O83" s="209">
        <f t="shared" si="15"/>
        <v>629146.71805133519</v>
      </c>
      <c r="P83" s="209">
        <f>168444408+75498000+5196300+5196300</f>
        <v>254335008</v>
      </c>
      <c r="Q83" s="204" t="s">
        <v>110</v>
      </c>
      <c r="R83" s="209"/>
      <c r="S83" s="209"/>
      <c r="T83" s="208">
        <f>P83-R83</f>
        <v>254335008</v>
      </c>
      <c r="U83" s="211">
        <f t="shared" si="16"/>
        <v>628313.46624175494</v>
      </c>
      <c r="V83" s="455"/>
      <c r="W83" s="213" t="s">
        <v>376</v>
      </c>
      <c r="X83" s="214"/>
    </row>
    <row r="84" spans="1:939" s="114" customFormat="1" ht="40.5" outlineLevel="1" x14ac:dyDescent="0.2">
      <c r="A84" s="99">
        <v>51</v>
      </c>
      <c r="B84" s="100" t="s">
        <v>166</v>
      </c>
      <c r="C84" s="101" t="s">
        <v>101</v>
      </c>
      <c r="D84" s="109" t="s">
        <v>103</v>
      </c>
      <c r="E84" s="110" t="s">
        <v>51</v>
      </c>
      <c r="F84" s="110"/>
      <c r="G84" s="110"/>
      <c r="H84" s="110"/>
      <c r="I84" s="110"/>
      <c r="J84" s="110"/>
      <c r="K84" s="109" t="s">
        <v>167</v>
      </c>
      <c r="L84" s="109" t="s">
        <v>168</v>
      </c>
      <c r="M84" s="101" t="s">
        <v>51</v>
      </c>
      <c r="N84" s="111">
        <v>88731015</v>
      </c>
      <c r="O84" s="22">
        <f t="shared" si="15"/>
        <v>219202.58652634698</v>
      </c>
      <c r="P84" s="22">
        <v>88731000</v>
      </c>
      <c r="Q84" s="112">
        <v>8.5000000000000006E-2</v>
      </c>
      <c r="R84" s="22"/>
      <c r="S84" s="22">
        <v>1591081</v>
      </c>
      <c r="T84" s="111">
        <f t="shared" ref="T84:T98" si="17">P84-R84</f>
        <v>88731000</v>
      </c>
      <c r="U84" s="105">
        <f t="shared" si="16"/>
        <v>219202.5494700956</v>
      </c>
      <c r="V84" s="113" t="s">
        <v>169</v>
      </c>
      <c r="W84" s="101" t="s">
        <v>373</v>
      </c>
      <c r="X84" s="96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  <c r="TC84" s="97"/>
      <c r="TD84" s="97"/>
      <c r="TE84" s="97"/>
      <c r="TF84" s="97"/>
      <c r="TG84" s="97"/>
      <c r="TH84" s="97"/>
      <c r="TI84" s="97"/>
      <c r="TJ84" s="97"/>
      <c r="TK84" s="97"/>
      <c r="TL84" s="97"/>
      <c r="TM84" s="97"/>
      <c r="TN84" s="97"/>
      <c r="TO84" s="97"/>
      <c r="TP84" s="97"/>
      <c r="TQ84" s="97"/>
      <c r="TR84" s="97"/>
      <c r="TS84" s="97"/>
      <c r="TT84" s="97"/>
      <c r="TU84" s="97"/>
      <c r="TV84" s="97"/>
      <c r="TW84" s="97"/>
      <c r="TX84" s="97"/>
      <c r="TY84" s="97"/>
      <c r="TZ84" s="97"/>
      <c r="UA84" s="97"/>
      <c r="UB84" s="97"/>
      <c r="UC84" s="97"/>
      <c r="UD84" s="97"/>
      <c r="UE84" s="97"/>
      <c r="UF84" s="97"/>
      <c r="UG84" s="97"/>
      <c r="UH84" s="97"/>
      <c r="UI84" s="97"/>
      <c r="UJ84" s="97"/>
      <c r="UK84" s="97"/>
      <c r="UL84" s="97"/>
      <c r="UM84" s="97"/>
      <c r="UN84" s="97"/>
      <c r="UO84" s="97"/>
      <c r="UP84" s="97"/>
      <c r="UQ84" s="97"/>
      <c r="UR84" s="97"/>
      <c r="US84" s="97"/>
      <c r="UT84" s="97"/>
      <c r="UU84" s="97"/>
      <c r="UV84" s="97"/>
      <c r="UW84" s="97"/>
      <c r="UX84" s="97"/>
      <c r="UY84" s="97"/>
      <c r="UZ84" s="97"/>
      <c r="VA84" s="97"/>
      <c r="VB84" s="97"/>
      <c r="VC84" s="97"/>
      <c r="VD84" s="97"/>
      <c r="VE84" s="97"/>
      <c r="VF84" s="97"/>
      <c r="VG84" s="97"/>
      <c r="VH84" s="97"/>
      <c r="VI84" s="97"/>
      <c r="VJ84" s="97"/>
      <c r="VK84" s="97"/>
      <c r="VL84" s="97"/>
      <c r="VM84" s="97"/>
      <c r="VN84" s="97"/>
      <c r="VO84" s="97"/>
      <c r="VP84" s="97"/>
      <c r="VQ84" s="97"/>
      <c r="VR84" s="97"/>
      <c r="VS84" s="97"/>
      <c r="VT84" s="97"/>
      <c r="VU84" s="97"/>
      <c r="VV84" s="97"/>
      <c r="VW84" s="97"/>
      <c r="VX84" s="97"/>
      <c r="VY84" s="97"/>
      <c r="VZ84" s="97"/>
      <c r="WA84" s="97"/>
      <c r="WB84" s="97"/>
      <c r="WC84" s="97"/>
      <c r="WD84" s="97"/>
      <c r="WE84" s="97"/>
      <c r="WF84" s="97"/>
      <c r="WG84" s="97"/>
      <c r="WH84" s="97"/>
      <c r="WI84" s="97"/>
      <c r="WJ84" s="97"/>
      <c r="WK84" s="97"/>
      <c r="WL84" s="97"/>
      <c r="WM84" s="97"/>
      <c r="WN84" s="97"/>
      <c r="WO84" s="97"/>
      <c r="WP84" s="97"/>
      <c r="WQ84" s="97"/>
      <c r="WR84" s="97"/>
      <c r="WS84" s="97"/>
      <c r="WT84" s="97"/>
      <c r="WU84" s="97"/>
      <c r="WV84" s="97"/>
      <c r="WW84" s="97"/>
      <c r="WX84" s="97"/>
      <c r="WY84" s="97"/>
      <c r="WZ84" s="97"/>
      <c r="XA84" s="97"/>
      <c r="XB84" s="97"/>
      <c r="XC84" s="97"/>
      <c r="XD84" s="97"/>
      <c r="XE84" s="97"/>
      <c r="XF84" s="97"/>
      <c r="XG84" s="97"/>
      <c r="XH84" s="97"/>
      <c r="XI84" s="97"/>
      <c r="XJ84" s="97"/>
      <c r="XK84" s="97"/>
      <c r="XL84" s="97"/>
      <c r="XM84" s="97"/>
      <c r="XN84" s="97"/>
      <c r="XO84" s="97"/>
      <c r="XP84" s="97"/>
      <c r="XQ84" s="97"/>
      <c r="XR84" s="97"/>
      <c r="XS84" s="97"/>
      <c r="XT84" s="97"/>
      <c r="XU84" s="97"/>
      <c r="XV84" s="97"/>
      <c r="XW84" s="97"/>
      <c r="XX84" s="97"/>
      <c r="XY84" s="97"/>
      <c r="XZ84" s="97"/>
      <c r="YA84" s="97"/>
      <c r="YB84" s="97"/>
      <c r="YC84" s="97"/>
      <c r="YD84" s="97"/>
      <c r="YE84" s="97"/>
      <c r="YF84" s="97"/>
      <c r="YG84" s="97"/>
      <c r="YH84" s="97"/>
      <c r="YI84" s="97"/>
      <c r="YJ84" s="97"/>
      <c r="YK84" s="97"/>
      <c r="YL84" s="97"/>
      <c r="YM84" s="97"/>
      <c r="YN84" s="97"/>
      <c r="YO84" s="97"/>
      <c r="YP84" s="97"/>
      <c r="YQ84" s="97"/>
      <c r="YR84" s="97"/>
      <c r="YS84" s="97"/>
      <c r="YT84" s="97"/>
      <c r="YU84" s="97"/>
      <c r="YV84" s="97"/>
      <c r="YW84" s="97"/>
      <c r="YX84" s="97"/>
      <c r="YY84" s="97"/>
      <c r="YZ84" s="97"/>
      <c r="ZA84" s="97"/>
      <c r="ZB84" s="97"/>
      <c r="ZC84" s="97"/>
      <c r="ZD84" s="97"/>
      <c r="ZE84" s="97"/>
      <c r="ZF84" s="97"/>
      <c r="ZG84" s="97"/>
      <c r="ZH84" s="97"/>
      <c r="ZI84" s="97"/>
      <c r="ZJ84" s="97"/>
      <c r="ZK84" s="97"/>
      <c r="ZL84" s="97"/>
      <c r="ZM84" s="97"/>
      <c r="ZN84" s="97"/>
      <c r="ZO84" s="97"/>
      <c r="ZP84" s="97"/>
      <c r="ZQ84" s="97"/>
      <c r="ZR84" s="97"/>
      <c r="ZS84" s="97"/>
      <c r="ZT84" s="97"/>
      <c r="ZU84" s="97"/>
      <c r="ZV84" s="97"/>
      <c r="ZW84" s="97"/>
      <c r="ZX84" s="97"/>
      <c r="ZY84" s="97"/>
      <c r="ZZ84" s="97"/>
      <c r="AAA84" s="97"/>
      <c r="AAB84" s="97"/>
      <c r="AAC84" s="97"/>
      <c r="AAD84" s="97"/>
      <c r="AAE84" s="97"/>
      <c r="AAF84" s="97"/>
      <c r="AAG84" s="97"/>
      <c r="AAH84" s="97"/>
      <c r="AAI84" s="97"/>
      <c r="AAJ84" s="97"/>
      <c r="AAK84" s="97"/>
      <c r="AAL84" s="97"/>
      <c r="AAM84" s="97"/>
      <c r="AAN84" s="97"/>
      <c r="AAO84" s="97"/>
      <c r="AAP84" s="97"/>
      <c r="AAQ84" s="97"/>
      <c r="AAR84" s="97"/>
      <c r="AAS84" s="97"/>
      <c r="AAT84" s="97"/>
      <c r="AAU84" s="97"/>
      <c r="AAV84" s="97"/>
      <c r="AAW84" s="97"/>
      <c r="AAX84" s="97"/>
      <c r="AAY84" s="97"/>
      <c r="AAZ84" s="97"/>
      <c r="ABA84" s="97"/>
      <c r="ABB84" s="97"/>
      <c r="ABC84" s="97"/>
      <c r="ABD84" s="97"/>
      <c r="ABE84" s="97"/>
      <c r="ABF84" s="97"/>
      <c r="ABG84" s="97"/>
      <c r="ABH84" s="97"/>
      <c r="ABI84" s="97"/>
      <c r="ABJ84" s="97"/>
      <c r="ABK84" s="97"/>
      <c r="ABL84" s="97"/>
      <c r="ABM84" s="97"/>
      <c r="ABN84" s="97"/>
      <c r="ABO84" s="97"/>
      <c r="ABP84" s="97"/>
      <c r="ABQ84" s="97"/>
      <c r="ABR84" s="97"/>
      <c r="ABS84" s="97"/>
      <c r="ABT84" s="97"/>
      <c r="ABU84" s="97"/>
      <c r="ABV84" s="97"/>
      <c r="ABW84" s="97"/>
      <c r="ABX84" s="97"/>
      <c r="ABY84" s="97"/>
      <c r="ABZ84" s="97"/>
      <c r="ACA84" s="97"/>
      <c r="ACB84" s="97"/>
      <c r="ACC84" s="97"/>
      <c r="ACD84" s="97"/>
      <c r="ACE84" s="97"/>
      <c r="ACF84" s="97"/>
      <c r="ACG84" s="97"/>
      <c r="ACH84" s="97"/>
      <c r="ACI84" s="97"/>
      <c r="ACJ84" s="97"/>
      <c r="ACK84" s="97"/>
      <c r="ACL84" s="97"/>
      <c r="ACM84" s="97"/>
      <c r="ACN84" s="97"/>
      <c r="ACO84" s="97"/>
      <c r="ACP84" s="97"/>
      <c r="ACQ84" s="97"/>
      <c r="ACR84" s="97"/>
      <c r="ACS84" s="97"/>
      <c r="ACT84" s="97"/>
      <c r="ACU84" s="97"/>
      <c r="ACV84" s="97"/>
      <c r="ACW84" s="97"/>
      <c r="ACX84" s="97"/>
      <c r="ACY84" s="97"/>
      <c r="ACZ84" s="97"/>
      <c r="ADA84" s="97"/>
      <c r="ADB84" s="97"/>
      <c r="ADC84" s="97"/>
      <c r="ADD84" s="97"/>
      <c r="ADE84" s="97"/>
      <c r="ADF84" s="97"/>
      <c r="ADG84" s="97"/>
      <c r="ADH84" s="97"/>
      <c r="ADI84" s="97"/>
      <c r="ADJ84" s="97"/>
      <c r="ADK84" s="97"/>
      <c r="ADL84" s="97"/>
      <c r="ADM84" s="97"/>
      <c r="ADN84" s="97"/>
      <c r="ADO84" s="97"/>
      <c r="ADP84" s="97"/>
      <c r="ADQ84" s="97"/>
      <c r="ADR84" s="97"/>
      <c r="ADS84" s="97"/>
      <c r="ADT84" s="97"/>
      <c r="ADU84" s="97"/>
      <c r="ADV84" s="97"/>
      <c r="ADW84" s="97"/>
      <c r="ADX84" s="97"/>
      <c r="ADY84" s="97"/>
      <c r="ADZ84" s="97"/>
      <c r="AEA84" s="97"/>
      <c r="AEB84" s="97"/>
      <c r="AEC84" s="97"/>
      <c r="AED84" s="97"/>
      <c r="AEE84" s="97"/>
      <c r="AEF84" s="97"/>
      <c r="AEG84" s="97"/>
      <c r="AEH84" s="97"/>
      <c r="AEI84" s="97"/>
      <c r="AEJ84" s="97"/>
      <c r="AEK84" s="97"/>
      <c r="AEL84" s="97"/>
      <c r="AEM84" s="97"/>
      <c r="AEN84" s="97"/>
      <c r="AEO84" s="97"/>
      <c r="AEP84" s="97"/>
      <c r="AEQ84" s="97"/>
      <c r="AER84" s="97"/>
      <c r="AES84" s="97"/>
      <c r="AET84" s="97"/>
      <c r="AEU84" s="97"/>
      <c r="AEV84" s="97"/>
      <c r="AEW84" s="97"/>
      <c r="AEX84" s="97"/>
      <c r="AEY84" s="97"/>
      <c r="AEZ84" s="97"/>
      <c r="AFA84" s="97"/>
      <c r="AFB84" s="97"/>
      <c r="AFC84" s="97"/>
      <c r="AFD84" s="97"/>
      <c r="AFE84" s="97"/>
      <c r="AFF84" s="97"/>
      <c r="AFG84" s="97"/>
      <c r="AFH84" s="97"/>
      <c r="AFI84" s="97"/>
      <c r="AFJ84" s="97"/>
      <c r="AFK84" s="97"/>
      <c r="AFL84" s="97"/>
      <c r="AFM84" s="97"/>
      <c r="AFN84" s="97"/>
      <c r="AFO84" s="97"/>
      <c r="AFP84" s="97"/>
      <c r="AFQ84" s="97"/>
      <c r="AFR84" s="97"/>
      <c r="AFS84" s="97"/>
      <c r="AFT84" s="97"/>
      <c r="AFU84" s="97"/>
      <c r="AFV84" s="97"/>
      <c r="AFW84" s="97"/>
      <c r="AFX84" s="97"/>
      <c r="AFY84" s="97"/>
      <c r="AFZ84" s="97"/>
      <c r="AGA84" s="97"/>
      <c r="AGB84" s="97"/>
      <c r="AGC84" s="97"/>
      <c r="AGD84" s="97"/>
      <c r="AGE84" s="97"/>
      <c r="AGF84" s="97"/>
      <c r="AGG84" s="97"/>
      <c r="AGH84" s="97"/>
      <c r="AGI84" s="97"/>
      <c r="AGJ84" s="97"/>
      <c r="AGK84" s="97"/>
      <c r="AGL84" s="97"/>
      <c r="AGM84" s="97"/>
      <c r="AGN84" s="97"/>
      <c r="AGO84" s="97"/>
      <c r="AGP84" s="97"/>
      <c r="AGQ84" s="97"/>
      <c r="AGR84" s="97"/>
      <c r="AGS84" s="97"/>
      <c r="AGT84" s="97"/>
      <c r="AGU84" s="97"/>
      <c r="AGV84" s="97"/>
      <c r="AGW84" s="97"/>
      <c r="AGX84" s="97"/>
      <c r="AGY84" s="97"/>
      <c r="AGZ84" s="97"/>
      <c r="AHA84" s="97"/>
      <c r="AHB84" s="97"/>
      <c r="AHC84" s="97"/>
      <c r="AHD84" s="97"/>
      <c r="AHE84" s="97"/>
      <c r="AHF84" s="97"/>
      <c r="AHG84" s="97"/>
      <c r="AHH84" s="97"/>
      <c r="AHI84" s="97"/>
      <c r="AHJ84" s="97"/>
      <c r="AHK84" s="97"/>
      <c r="AHL84" s="97"/>
      <c r="AHM84" s="97"/>
      <c r="AHN84" s="97"/>
      <c r="AHO84" s="97"/>
      <c r="AHP84" s="97"/>
      <c r="AHQ84" s="97"/>
      <c r="AHR84" s="97"/>
      <c r="AHS84" s="97"/>
      <c r="AHT84" s="97"/>
      <c r="AHU84" s="97"/>
      <c r="AHV84" s="97"/>
      <c r="AHW84" s="97"/>
      <c r="AHX84" s="97"/>
      <c r="AHY84" s="97"/>
      <c r="AHZ84" s="97"/>
      <c r="AIA84" s="97"/>
      <c r="AIB84" s="97"/>
      <c r="AIC84" s="97"/>
      <c r="AID84" s="97"/>
      <c r="AIE84" s="97"/>
      <c r="AIF84" s="97"/>
      <c r="AIG84" s="97"/>
      <c r="AIH84" s="97"/>
      <c r="AII84" s="97"/>
      <c r="AIJ84" s="97"/>
      <c r="AIK84" s="97"/>
      <c r="AIL84" s="97"/>
      <c r="AIM84" s="97"/>
      <c r="AIN84" s="97"/>
      <c r="AIO84" s="97"/>
      <c r="AIP84" s="97"/>
      <c r="AIQ84" s="97"/>
      <c r="AIR84" s="97"/>
      <c r="AIS84" s="97"/>
      <c r="AIT84" s="97"/>
      <c r="AIU84" s="97"/>
      <c r="AIV84" s="97"/>
      <c r="AIW84" s="97"/>
      <c r="AIX84" s="97"/>
      <c r="AIY84" s="97"/>
      <c r="AIZ84" s="97"/>
      <c r="AJA84" s="97"/>
      <c r="AJB84" s="97"/>
      <c r="AJC84" s="97"/>
    </row>
    <row r="85" spans="1:939" s="215" customFormat="1" ht="40.5" outlineLevel="1" x14ac:dyDescent="0.2">
      <c r="A85" s="203">
        <v>52</v>
      </c>
      <c r="B85" s="204" t="s">
        <v>176</v>
      </c>
      <c r="C85" s="205" t="s">
        <v>156</v>
      </c>
      <c r="D85" s="206" t="s">
        <v>103</v>
      </c>
      <c r="E85" s="207" t="s">
        <v>51</v>
      </c>
      <c r="F85" s="207"/>
      <c r="G85" s="207"/>
      <c r="H85" s="207"/>
      <c r="I85" s="207"/>
      <c r="J85" s="207"/>
      <c r="K85" s="206" t="s">
        <v>170</v>
      </c>
      <c r="L85" s="206" t="s">
        <v>179</v>
      </c>
      <c r="M85" s="205" t="s">
        <v>51</v>
      </c>
      <c r="N85" s="208">
        <v>3840000000</v>
      </c>
      <c r="O85" s="209">
        <f t="shared" si="15"/>
        <v>9486400.3557400126</v>
      </c>
      <c r="P85" s="209">
        <v>3840000000</v>
      </c>
      <c r="Q85" s="210">
        <v>1.0000000000000001E-5</v>
      </c>
      <c r="R85" s="209">
        <v>3484641868</v>
      </c>
      <c r="S85" s="209">
        <v>37169</v>
      </c>
      <c r="T85" s="208">
        <f t="shared" si="17"/>
        <v>355358132</v>
      </c>
      <c r="U85" s="211">
        <f t="shared" si="16"/>
        <v>877882.68484893395</v>
      </c>
      <c r="V85" s="212" t="s">
        <v>111</v>
      </c>
      <c r="W85" s="213" t="s">
        <v>369</v>
      </c>
      <c r="X85" s="214"/>
    </row>
    <row r="86" spans="1:939" s="3" customFormat="1" ht="94.5" outlineLevel="1" x14ac:dyDescent="0.25">
      <c r="A86" s="203">
        <v>53</v>
      </c>
      <c r="B86" s="363" t="s">
        <v>229</v>
      </c>
      <c r="C86" s="364" t="s">
        <v>156</v>
      </c>
      <c r="D86" s="364" t="s">
        <v>8</v>
      </c>
      <c r="E86" s="364"/>
      <c r="F86" s="364"/>
      <c r="G86" s="364"/>
      <c r="H86" s="364"/>
      <c r="I86" s="364"/>
      <c r="J86" s="364"/>
      <c r="K86" s="205" t="s">
        <v>201</v>
      </c>
      <c r="L86" s="205" t="s">
        <v>200</v>
      </c>
      <c r="M86" s="205" t="s">
        <v>26</v>
      </c>
      <c r="N86" s="216">
        <v>8944984.0899999999</v>
      </c>
      <c r="O86" s="209">
        <f t="shared" si="15"/>
        <v>8944984.0899999999</v>
      </c>
      <c r="P86" s="209">
        <v>8944984.0899999999</v>
      </c>
      <c r="Q86" s="217">
        <v>7.4999999999999997E-3</v>
      </c>
      <c r="R86" s="209">
        <f>2425758.4+151609.9+151609.9</f>
        <v>2728978.1999999997</v>
      </c>
      <c r="S86" s="209">
        <f>881276.03+25084.35+24380.12+23943.98</f>
        <v>954684.48</v>
      </c>
      <c r="T86" s="218">
        <f t="shared" si="17"/>
        <v>6216005.8900000006</v>
      </c>
      <c r="U86" s="211">
        <f t="shared" si="16"/>
        <v>6216005.8900000006</v>
      </c>
      <c r="V86" s="361" t="s">
        <v>111</v>
      </c>
      <c r="W86" s="219"/>
      <c r="X86" s="2"/>
    </row>
    <row r="87" spans="1:939" s="3" customFormat="1" ht="55.5" customHeight="1" outlineLevel="1" x14ac:dyDescent="0.25">
      <c r="A87" s="459">
        <v>54</v>
      </c>
      <c r="B87" s="454" t="s">
        <v>230</v>
      </c>
      <c r="C87" s="456" t="s">
        <v>156</v>
      </c>
      <c r="D87" s="456" t="s">
        <v>8</v>
      </c>
      <c r="E87" s="364"/>
      <c r="F87" s="364"/>
      <c r="G87" s="364"/>
      <c r="H87" s="364"/>
      <c r="I87" s="364"/>
      <c r="J87" s="364"/>
      <c r="K87" s="456" t="s">
        <v>202</v>
      </c>
      <c r="L87" s="205" t="s">
        <v>203</v>
      </c>
      <c r="M87" s="205" t="s">
        <v>51</v>
      </c>
      <c r="N87" s="216">
        <v>93025000</v>
      </c>
      <c r="O87" s="209">
        <f t="shared" si="15"/>
        <v>229810.51903456112</v>
      </c>
      <c r="P87" s="209">
        <v>93025000</v>
      </c>
      <c r="Q87" s="217">
        <v>7.4999999999999997E-3</v>
      </c>
      <c r="R87" s="209">
        <f>13953750+930250+930250</f>
        <v>15814250</v>
      </c>
      <c r="S87" s="209">
        <f>9237334.28+296030</f>
        <v>9533364.2799999993</v>
      </c>
      <c r="T87" s="218">
        <f t="shared" si="17"/>
        <v>77210750</v>
      </c>
      <c r="U87" s="211">
        <f t="shared" si="16"/>
        <v>190742.73079868572</v>
      </c>
      <c r="V87" s="440" t="s">
        <v>111</v>
      </c>
      <c r="W87" s="219"/>
      <c r="X87" s="2"/>
    </row>
    <row r="88" spans="1:939" s="3" customFormat="1" ht="55.5" customHeight="1" outlineLevel="1" x14ac:dyDescent="0.25">
      <c r="A88" s="460"/>
      <c r="B88" s="455"/>
      <c r="C88" s="457"/>
      <c r="D88" s="457"/>
      <c r="E88" s="364"/>
      <c r="F88" s="364"/>
      <c r="G88" s="364"/>
      <c r="H88" s="364"/>
      <c r="I88" s="364"/>
      <c r="J88" s="364"/>
      <c r="K88" s="457"/>
      <c r="L88" s="205" t="s">
        <v>203</v>
      </c>
      <c r="M88" s="205" t="s">
        <v>26</v>
      </c>
      <c r="N88" s="216">
        <v>5217725</v>
      </c>
      <c r="O88" s="209">
        <f t="shared" si="15"/>
        <v>5217725</v>
      </c>
      <c r="P88" s="209">
        <v>5217725</v>
      </c>
      <c r="Q88" s="217">
        <v>7.4999999999999997E-3</v>
      </c>
      <c r="R88" s="209">
        <f>782658.5+52177.25+52177.25</f>
        <v>887013</v>
      </c>
      <c r="S88" s="209">
        <f>538816.19+16480.36</f>
        <v>555296.54999999993</v>
      </c>
      <c r="T88" s="218">
        <f t="shared" si="17"/>
        <v>4330712</v>
      </c>
      <c r="U88" s="211">
        <f t="shared" si="16"/>
        <v>4330712</v>
      </c>
      <c r="V88" s="441"/>
      <c r="W88" s="219"/>
      <c r="X88" s="2"/>
    </row>
    <row r="89" spans="1:939" s="3" customFormat="1" ht="94.5" outlineLevel="1" x14ac:dyDescent="0.25">
      <c r="A89" s="220">
        <v>55</v>
      </c>
      <c r="B89" s="363" t="s">
        <v>232</v>
      </c>
      <c r="C89" s="364" t="s">
        <v>156</v>
      </c>
      <c r="D89" s="364" t="s">
        <v>8</v>
      </c>
      <c r="E89" s="364"/>
      <c r="F89" s="364"/>
      <c r="G89" s="364"/>
      <c r="H89" s="364"/>
      <c r="I89" s="364"/>
      <c r="J89" s="364"/>
      <c r="K89" s="205" t="s">
        <v>204</v>
      </c>
      <c r="L89" s="205" t="s">
        <v>205</v>
      </c>
      <c r="M89" s="205" t="s">
        <v>26</v>
      </c>
      <c r="N89" s="216">
        <v>1989000</v>
      </c>
      <c r="O89" s="209">
        <f t="shared" si="15"/>
        <v>1989000</v>
      </c>
      <c r="P89" s="209">
        <v>1989000</v>
      </c>
      <c r="Q89" s="217">
        <v>7.4999999999999997E-3</v>
      </c>
      <c r="R89" s="209">
        <f>337118.7+33711.86+33711.86</f>
        <v>404542.42</v>
      </c>
      <c r="S89" s="209">
        <f>177150.18+6084.76</f>
        <v>183234.94</v>
      </c>
      <c r="T89" s="218">
        <f t="shared" si="17"/>
        <v>1584457.58</v>
      </c>
      <c r="U89" s="211">
        <f t="shared" si="16"/>
        <v>1584457.58</v>
      </c>
      <c r="V89" s="361" t="s">
        <v>111</v>
      </c>
      <c r="W89" s="219"/>
      <c r="X89" s="2"/>
    </row>
    <row r="90" spans="1:939" s="3" customFormat="1" ht="108" outlineLevel="1" x14ac:dyDescent="0.25">
      <c r="A90" s="220">
        <v>56</v>
      </c>
      <c r="B90" s="363" t="s">
        <v>383</v>
      </c>
      <c r="C90" s="364" t="s">
        <v>384</v>
      </c>
      <c r="D90" s="364" t="s">
        <v>8</v>
      </c>
      <c r="E90" s="364" t="s">
        <v>64</v>
      </c>
      <c r="F90" s="364">
        <v>2190000</v>
      </c>
      <c r="G90" s="364"/>
      <c r="H90" s="364"/>
      <c r="I90" s="364"/>
      <c r="J90" s="364"/>
      <c r="K90" s="364" t="s">
        <v>385</v>
      </c>
      <c r="L90" s="364" t="s">
        <v>386</v>
      </c>
      <c r="M90" s="205" t="s">
        <v>51</v>
      </c>
      <c r="N90" s="216">
        <v>2047212646</v>
      </c>
      <c r="O90" s="209">
        <f t="shared" si="15"/>
        <v>5057468.4305442329</v>
      </c>
      <c r="P90" s="227">
        <v>2047212646</v>
      </c>
      <c r="Q90" s="217">
        <v>0.02</v>
      </c>
      <c r="R90" s="209">
        <v>0</v>
      </c>
      <c r="S90" s="209">
        <f>88017538.4+20640391</f>
        <v>108657929.40000001</v>
      </c>
      <c r="T90" s="218">
        <v>2047212646</v>
      </c>
      <c r="U90" s="211">
        <f t="shared" si="16"/>
        <v>5057468.4305442329</v>
      </c>
      <c r="V90" s="361" t="s">
        <v>111</v>
      </c>
      <c r="W90" s="219"/>
      <c r="X90" s="2"/>
    </row>
    <row r="91" spans="1:939" s="3" customFormat="1" ht="256.5" outlineLevel="1" x14ac:dyDescent="0.25">
      <c r="A91" s="365">
        <v>57</v>
      </c>
      <c r="B91" s="363" t="s">
        <v>225</v>
      </c>
      <c r="C91" s="364" t="s">
        <v>226</v>
      </c>
      <c r="D91" s="364" t="s">
        <v>106</v>
      </c>
      <c r="E91" s="364"/>
      <c r="F91" s="364"/>
      <c r="G91" s="364"/>
      <c r="H91" s="364"/>
      <c r="I91" s="364"/>
      <c r="J91" s="364"/>
      <c r="K91" s="364" t="s">
        <v>397</v>
      </c>
      <c r="L91" s="364" t="s">
        <v>227</v>
      </c>
      <c r="M91" s="205" t="s">
        <v>26</v>
      </c>
      <c r="N91" s="216">
        <v>2217000</v>
      </c>
      <c r="O91" s="209">
        <f t="shared" si="15"/>
        <v>2217000</v>
      </c>
      <c r="P91" s="216">
        <v>2217000</v>
      </c>
      <c r="Q91" s="221">
        <v>0.02</v>
      </c>
      <c r="R91" s="209">
        <f>1656550.78+18166.04+7000680/387.28+18122.86+18122.86+32122.86+28837.1</f>
        <v>1789999.0337740141</v>
      </c>
      <c r="S91" s="209">
        <f>108750.120345235+1633.42+698950/387.28+1809.39+1778.61+1691.44+3308.88</f>
        <v>120776.62692238849</v>
      </c>
      <c r="T91" s="218">
        <v>1010837.1</v>
      </c>
      <c r="U91" s="211">
        <f t="shared" si="16"/>
        <v>1010837.1</v>
      </c>
      <c r="V91" s="361" t="s">
        <v>228</v>
      </c>
      <c r="W91" s="213" t="s">
        <v>375</v>
      </c>
      <c r="X91" s="2"/>
    </row>
    <row r="92" spans="1:939" s="224" customFormat="1" ht="48.75" customHeight="1" outlineLevel="1" x14ac:dyDescent="0.25">
      <c r="A92" s="205">
        <v>58</v>
      </c>
      <c r="B92" s="204" t="s">
        <v>387</v>
      </c>
      <c r="C92" s="205" t="s">
        <v>388</v>
      </c>
      <c r="D92" s="205" t="s">
        <v>389</v>
      </c>
      <c r="E92" s="205" t="s">
        <v>30</v>
      </c>
      <c r="F92" s="205">
        <v>20000000</v>
      </c>
      <c r="G92" s="205">
        <v>4199559.68</v>
      </c>
      <c r="H92" s="205" t="s">
        <v>390</v>
      </c>
      <c r="I92" s="205"/>
      <c r="J92" s="205"/>
      <c r="K92" s="205" t="s">
        <v>391</v>
      </c>
      <c r="L92" s="364" t="s">
        <v>398</v>
      </c>
      <c r="M92" s="205" t="s">
        <v>30</v>
      </c>
      <c r="N92" s="216">
        <f>4199559.68+12720691.2+1113060.48+1966688.64</f>
        <v>20000000</v>
      </c>
      <c r="O92" s="209">
        <f t="shared" si="15"/>
        <v>22129993.32987475</v>
      </c>
      <c r="P92" s="216">
        <f>N92</f>
        <v>20000000</v>
      </c>
      <c r="Q92" s="221" t="s">
        <v>390</v>
      </c>
      <c r="R92" s="209"/>
      <c r="S92" s="222">
        <f>77849.88+103888.1+413918.01</f>
        <v>595655.99</v>
      </c>
      <c r="T92" s="218">
        <f t="shared" ref="T92:T97" si="18">P92-R92</f>
        <v>20000000</v>
      </c>
      <c r="U92" s="211">
        <f t="shared" si="16"/>
        <v>22129993.32987475</v>
      </c>
      <c r="V92" s="361" t="s">
        <v>392</v>
      </c>
      <c r="W92" s="213"/>
      <c r="X92" s="223"/>
    </row>
    <row r="93" spans="1:939" s="114" customFormat="1" ht="38.25" customHeight="1" outlineLevel="1" x14ac:dyDescent="0.25">
      <c r="A93" s="442">
        <v>59</v>
      </c>
      <c r="B93" s="443" t="s">
        <v>206</v>
      </c>
      <c r="C93" s="445" t="s">
        <v>164</v>
      </c>
      <c r="D93" s="445"/>
      <c r="E93" s="115" t="s">
        <v>26</v>
      </c>
      <c r="F93" s="115"/>
      <c r="G93" s="115"/>
      <c r="H93" s="115"/>
      <c r="I93" s="115"/>
      <c r="J93" s="115"/>
      <c r="K93" s="447" t="s">
        <v>207</v>
      </c>
      <c r="L93" s="449" t="s">
        <v>208</v>
      </c>
      <c r="M93" s="102" t="s">
        <v>26</v>
      </c>
      <c r="N93" s="111">
        <v>237758.39</v>
      </c>
      <c r="O93" s="23">
        <f t="shared" si="15"/>
        <v>237758.39</v>
      </c>
      <c r="P93" s="22">
        <v>237758.39</v>
      </c>
      <c r="Q93" s="116"/>
      <c r="R93" s="22"/>
      <c r="S93" s="22"/>
      <c r="T93" s="111">
        <f t="shared" si="18"/>
        <v>237758.39</v>
      </c>
      <c r="U93" s="105">
        <f t="shared" si="16"/>
        <v>237758.39</v>
      </c>
      <c r="V93" s="450" t="s">
        <v>111</v>
      </c>
      <c r="W93" s="117"/>
      <c r="X93" s="96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  <c r="TC93" s="97"/>
      <c r="TD93" s="97"/>
      <c r="TE93" s="97"/>
      <c r="TF93" s="97"/>
      <c r="TG93" s="97"/>
      <c r="TH93" s="97"/>
      <c r="TI93" s="97"/>
      <c r="TJ93" s="97"/>
      <c r="TK93" s="97"/>
      <c r="TL93" s="97"/>
      <c r="TM93" s="97"/>
      <c r="TN93" s="97"/>
      <c r="TO93" s="97"/>
      <c r="TP93" s="97"/>
      <c r="TQ93" s="97"/>
      <c r="TR93" s="97"/>
      <c r="TS93" s="97"/>
      <c r="TT93" s="97"/>
      <c r="TU93" s="97"/>
      <c r="TV93" s="97"/>
      <c r="TW93" s="97"/>
      <c r="TX93" s="97"/>
      <c r="TY93" s="97"/>
      <c r="TZ93" s="97"/>
      <c r="UA93" s="97"/>
      <c r="UB93" s="97"/>
      <c r="UC93" s="97"/>
      <c r="UD93" s="97"/>
      <c r="UE93" s="97"/>
      <c r="UF93" s="97"/>
      <c r="UG93" s="97"/>
      <c r="UH93" s="97"/>
      <c r="UI93" s="97"/>
      <c r="UJ93" s="97"/>
      <c r="UK93" s="97"/>
      <c r="UL93" s="97"/>
      <c r="UM93" s="97"/>
      <c r="UN93" s="97"/>
      <c r="UO93" s="97"/>
      <c r="UP93" s="97"/>
      <c r="UQ93" s="97"/>
      <c r="UR93" s="97"/>
      <c r="US93" s="97"/>
      <c r="UT93" s="97"/>
      <c r="UU93" s="97"/>
      <c r="UV93" s="97"/>
      <c r="UW93" s="97"/>
      <c r="UX93" s="97"/>
      <c r="UY93" s="97"/>
      <c r="UZ93" s="97"/>
      <c r="VA93" s="97"/>
      <c r="VB93" s="97"/>
      <c r="VC93" s="97"/>
      <c r="VD93" s="97"/>
      <c r="VE93" s="97"/>
      <c r="VF93" s="97"/>
      <c r="VG93" s="97"/>
      <c r="VH93" s="97"/>
      <c r="VI93" s="97"/>
      <c r="VJ93" s="97"/>
      <c r="VK93" s="97"/>
      <c r="VL93" s="97"/>
      <c r="VM93" s="97"/>
      <c r="VN93" s="97"/>
      <c r="VO93" s="97"/>
      <c r="VP93" s="97"/>
      <c r="VQ93" s="97"/>
      <c r="VR93" s="97"/>
      <c r="VS93" s="97"/>
      <c r="VT93" s="97"/>
      <c r="VU93" s="97"/>
      <c r="VV93" s="97"/>
      <c r="VW93" s="97"/>
      <c r="VX93" s="97"/>
      <c r="VY93" s="97"/>
      <c r="VZ93" s="97"/>
      <c r="WA93" s="97"/>
      <c r="WB93" s="97"/>
      <c r="WC93" s="97"/>
      <c r="WD93" s="97"/>
      <c r="WE93" s="97"/>
      <c r="WF93" s="97"/>
      <c r="WG93" s="97"/>
      <c r="WH93" s="97"/>
      <c r="WI93" s="97"/>
      <c r="WJ93" s="97"/>
      <c r="WK93" s="97"/>
      <c r="WL93" s="97"/>
      <c r="WM93" s="97"/>
      <c r="WN93" s="97"/>
      <c r="WO93" s="97"/>
      <c r="WP93" s="97"/>
      <c r="WQ93" s="97"/>
      <c r="WR93" s="97"/>
      <c r="WS93" s="97"/>
      <c r="WT93" s="97"/>
      <c r="WU93" s="97"/>
      <c r="WV93" s="97"/>
      <c r="WW93" s="97"/>
      <c r="WX93" s="97"/>
      <c r="WY93" s="97"/>
      <c r="WZ93" s="97"/>
      <c r="XA93" s="97"/>
      <c r="XB93" s="97"/>
      <c r="XC93" s="97"/>
      <c r="XD93" s="97"/>
      <c r="XE93" s="97"/>
      <c r="XF93" s="97"/>
      <c r="XG93" s="97"/>
      <c r="XH93" s="97"/>
      <c r="XI93" s="97"/>
      <c r="XJ93" s="97"/>
      <c r="XK93" s="97"/>
      <c r="XL93" s="97"/>
      <c r="XM93" s="97"/>
      <c r="XN93" s="97"/>
      <c r="XO93" s="97"/>
      <c r="XP93" s="97"/>
      <c r="XQ93" s="97"/>
      <c r="XR93" s="97"/>
      <c r="XS93" s="97"/>
      <c r="XT93" s="97"/>
      <c r="XU93" s="97"/>
      <c r="XV93" s="97"/>
      <c r="XW93" s="97"/>
      <c r="XX93" s="97"/>
      <c r="XY93" s="97"/>
      <c r="XZ93" s="97"/>
      <c r="YA93" s="97"/>
      <c r="YB93" s="97"/>
      <c r="YC93" s="97"/>
      <c r="YD93" s="97"/>
      <c r="YE93" s="97"/>
      <c r="YF93" s="97"/>
      <c r="YG93" s="97"/>
      <c r="YH93" s="97"/>
      <c r="YI93" s="97"/>
      <c r="YJ93" s="97"/>
      <c r="YK93" s="97"/>
      <c r="YL93" s="97"/>
      <c r="YM93" s="97"/>
      <c r="YN93" s="97"/>
      <c r="YO93" s="97"/>
      <c r="YP93" s="97"/>
      <c r="YQ93" s="97"/>
      <c r="YR93" s="97"/>
      <c r="YS93" s="97"/>
      <c r="YT93" s="97"/>
      <c r="YU93" s="97"/>
      <c r="YV93" s="97"/>
      <c r="YW93" s="97"/>
      <c r="YX93" s="97"/>
      <c r="YY93" s="97"/>
      <c r="YZ93" s="97"/>
      <c r="ZA93" s="97"/>
      <c r="ZB93" s="97"/>
      <c r="ZC93" s="97"/>
      <c r="ZD93" s="97"/>
      <c r="ZE93" s="97"/>
      <c r="ZF93" s="97"/>
      <c r="ZG93" s="97"/>
      <c r="ZH93" s="97"/>
      <c r="ZI93" s="97"/>
      <c r="ZJ93" s="97"/>
      <c r="ZK93" s="97"/>
      <c r="ZL93" s="97"/>
      <c r="ZM93" s="97"/>
      <c r="ZN93" s="97"/>
      <c r="ZO93" s="97"/>
      <c r="ZP93" s="97"/>
      <c r="ZQ93" s="97"/>
      <c r="ZR93" s="97"/>
      <c r="ZS93" s="97"/>
      <c r="ZT93" s="97"/>
      <c r="ZU93" s="97"/>
      <c r="ZV93" s="97"/>
      <c r="ZW93" s="97"/>
      <c r="ZX93" s="97"/>
      <c r="ZY93" s="97"/>
      <c r="ZZ93" s="97"/>
      <c r="AAA93" s="97"/>
      <c r="AAB93" s="97"/>
      <c r="AAC93" s="97"/>
      <c r="AAD93" s="97"/>
      <c r="AAE93" s="97"/>
      <c r="AAF93" s="97"/>
      <c r="AAG93" s="97"/>
      <c r="AAH93" s="97"/>
      <c r="AAI93" s="97"/>
      <c r="AAJ93" s="97"/>
      <c r="AAK93" s="97"/>
      <c r="AAL93" s="97"/>
      <c r="AAM93" s="97"/>
      <c r="AAN93" s="97"/>
      <c r="AAO93" s="97"/>
      <c r="AAP93" s="97"/>
      <c r="AAQ93" s="97"/>
      <c r="AAR93" s="97"/>
      <c r="AAS93" s="97"/>
      <c r="AAT93" s="97"/>
      <c r="AAU93" s="97"/>
      <c r="AAV93" s="97"/>
      <c r="AAW93" s="97"/>
      <c r="AAX93" s="97"/>
      <c r="AAY93" s="97"/>
      <c r="AAZ93" s="97"/>
      <c r="ABA93" s="97"/>
      <c r="ABB93" s="97"/>
      <c r="ABC93" s="97"/>
      <c r="ABD93" s="97"/>
      <c r="ABE93" s="97"/>
      <c r="ABF93" s="97"/>
      <c r="ABG93" s="97"/>
      <c r="ABH93" s="97"/>
      <c r="ABI93" s="97"/>
      <c r="ABJ93" s="97"/>
      <c r="ABK93" s="97"/>
      <c r="ABL93" s="97"/>
      <c r="ABM93" s="97"/>
      <c r="ABN93" s="97"/>
      <c r="ABO93" s="97"/>
      <c r="ABP93" s="97"/>
      <c r="ABQ93" s="97"/>
      <c r="ABR93" s="97"/>
      <c r="ABS93" s="97"/>
      <c r="ABT93" s="97"/>
      <c r="ABU93" s="97"/>
      <c r="ABV93" s="97"/>
      <c r="ABW93" s="97"/>
      <c r="ABX93" s="97"/>
      <c r="ABY93" s="97"/>
      <c r="ABZ93" s="97"/>
      <c r="ACA93" s="97"/>
      <c r="ACB93" s="97"/>
      <c r="ACC93" s="97"/>
      <c r="ACD93" s="97"/>
      <c r="ACE93" s="97"/>
      <c r="ACF93" s="97"/>
      <c r="ACG93" s="97"/>
      <c r="ACH93" s="97"/>
      <c r="ACI93" s="97"/>
      <c r="ACJ93" s="97"/>
      <c r="ACK93" s="97"/>
      <c r="ACL93" s="97"/>
      <c r="ACM93" s="97"/>
      <c r="ACN93" s="97"/>
      <c r="ACO93" s="97"/>
      <c r="ACP93" s="97"/>
      <c r="ACQ93" s="97"/>
      <c r="ACR93" s="97"/>
      <c r="ACS93" s="97"/>
      <c r="ACT93" s="97"/>
      <c r="ACU93" s="97"/>
      <c r="ACV93" s="97"/>
      <c r="ACW93" s="97"/>
      <c r="ACX93" s="97"/>
      <c r="ACY93" s="97"/>
      <c r="ACZ93" s="97"/>
      <c r="ADA93" s="97"/>
      <c r="ADB93" s="97"/>
      <c r="ADC93" s="97"/>
      <c r="ADD93" s="97"/>
      <c r="ADE93" s="97"/>
      <c r="ADF93" s="97"/>
      <c r="ADG93" s="97"/>
      <c r="ADH93" s="97"/>
      <c r="ADI93" s="97"/>
      <c r="ADJ93" s="97"/>
      <c r="ADK93" s="97"/>
      <c r="ADL93" s="97"/>
      <c r="ADM93" s="97"/>
      <c r="ADN93" s="97"/>
      <c r="ADO93" s="97"/>
      <c r="ADP93" s="97"/>
      <c r="ADQ93" s="97"/>
      <c r="ADR93" s="97"/>
      <c r="ADS93" s="97"/>
      <c r="ADT93" s="97"/>
      <c r="ADU93" s="97"/>
      <c r="ADV93" s="97"/>
      <c r="ADW93" s="97"/>
      <c r="ADX93" s="97"/>
      <c r="ADY93" s="97"/>
      <c r="ADZ93" s="97"/>
      <c r="AEA93" s="97"/>
      <c r="AEB93" s="97"/>
      <c r="AEC93" s="97"/>
      <c r="AED93" s="97"/>
      <c r="AEE93" s="97"/>
      <c r="AEF93" s="97"/>
      <c r="AEG93" s="97"/>
      <c r="AEH93" s="97"/>
      <c r="AEI93" s="97"/>
      <c r="AEJ93" s="97"/>
      <c r="AEK93" s="97"/>
      <c r="AEL93" s="97"/>
      <c r="AEM93" s="97"/>
      <c r="AEN93" s="97"/>
      <c r="AEO93" s="97"/>
      <c r="AEP93" s="97"/>
      <c r="AEQ93" s="97"/>
      <c r="AER93" s="97"/>
      <c r="AES93" s="97"/>
      <c r="AET93" s="97"/>
      <c r="AEU93" s="97"/>
      <c r="AEV93" s="97"/>
      <c r="AEW93" s="97"/>
      <c r="AEX93" s="97"/>
      <c r="AEY93" s="97"/>
      <c r="AEZ93" s="97"/>
      <c r="AFA93" s="97"/>
      <c r="AFB93" s="97"/>
      <c r="AFC93" s="97"/>
      <c r="AFD93" s="97"/>
      <c r="AFE93" s="97"/>
      <c r="AFF93" s="97"/>
      <c r="AFG93" s="97"/>
      <c r="AFH93" s="97"/>
      <c r="AFI93" s="97"/>
      <c r="AFJ93" s="97"/>
      <c r="AFK93" s="97"/>
      <c r="AFL93" s="97"/>
      <c r="AFM93" s="97"/>
      <c r="AFN93" s="97"/>
      <c r="AFO93" s="97"/>
      <c r="AFP93" s="97"/>
      <c r="AFQ93" s="97"/>
      <c r="AFR93" s="97"/>
      <c r="AFS93" s="97"/>
      <c r="AFT93" s="97"/>
      <c r="AFU93" s="97"/>
      <c r="AFV93" s="97"/>
      <c r="AFW93" s="97"/>
      <c r="AFX93" s="97"/>
      <c r="AFY93" s="97"/>
      <c r="AFZ93" s="97"/>
      <c r="AGA93" s="97"/>
      <c r="AGB93" s="97"/>
      <c r="AGC93" s="97"/>
      <c r="AGD93" s="97"/>
      <c r="AGE93" s="97"/>
      <c r="AGF93" s="97"/>
      <c r="AGG93" s="97"/>
      <c r="AGH93" s="97"/>
      <c r="AGI93" s="97"/>
      <c r="AGJ93" s="97"/>
      <c r="AGK93" s="97"/>
      <c r="AGL93" s="97"/>
      <c r="AGM93" s="97"/>
      <c r="AGN93" s="97"/>
      <c r="AGO93" s="97"/>
      <c r="AGP93" s="97"/>
      <c r="AGQ93" s="97"/>
      <c r="AGR93" s="97"/>
      <c r="AGS93" s="97"/>
      <c r="AGT93" s="97"/>
      <c r="AGU93" s="97"/>
      <c r="AGV93" s="97"/>
      <c r="AGW93" s="97"/>
      <c r="AGX93" s="97"/>
      <c r="AGY93" s="97"/>
      <c r="AGZ93" s="97"/>
      <c r="AHA93" s="97"/>
      <c r="AHB93" s="97"/>
      <c r="AHC93" s="97"/>
      <c r="AHD93" s="97"/>
      <c r="AHE93" s="97"/>
      <c r="AHF93" s="97"/>
      <c r="AHG93" s="97"/>
      <c r="AHH93" s="97"/>
      <c r="AHI93" s="97"/>
      <c r="AHJ93" s="97"/>
      <c r="AHK93" s="97"/>
      <c r="AHL93" s="97"/>
      <c r="AHM93" s="97"/>
      <c r="AHN93" s="97"/>
      <c r="AHO93" s="97"/>
      <c r="AHP93" s="97"/>
      <c r="AHQ93" s="97"/>
      <c r="AHR93" s="97"/>
      <c r="AHS93" s="97"/>
      <c r="AHT93" s="97"/>
      <c r="AHU93" s="97"/>
      <c r="AHV93" s="97"/>
      <c r="AHW93" s="97"/>
      <c r="AHX93" s="97"/>
      <c r="AHY93" s="97"/>
      <c r="AHZ93" s="97"/>
      <c r="AIA93" s="97"/>
      <c r="AIB93" s="97"/>
      <c r="AIC93" s="97"/>
      <c r="AID93" s="97"/>
      <c r="AIE93" s="97"/>
      <c r="AIF93" s="97"/>
      <c r="AIG93" s="97"/>
      <c r="AIH93" s="97"/>
      <c r="AII93" s="97"/>
      <c r="AIJ93" s="97"/>
      <c r="AIK93" s="97"/>
      <c r="AIL93" s="97"/>
      <c r="AIM93" s="97"/>
      <c r="AIN93" s="97"/>
      <c r="AIO93" s="97"/>
      <c r="AIP93" s="97"/>
      <c r="AIQ93" s="97"/>
      <c r="AIR93" s="97"/>
      <c r="AIS93" s="97"/>
      <c r="AIT93" s="97"/>
      <c r="AIU93" s="97"/>
      <c r="AIV93" s="97"/>
      <c r="AIW93" s="97"/>
      <c r="AIX93" s="97"/>
      <c r="AIY93" s="97"/>
      <c r="AIZ93" s="97"/>
      <c r="AJA93" s="97"/>
      <c r="AJB93" s="97"/>
      <c r="AJC93" s="97"/>
    </row>
    <row r="94" spans="1:939" s="114" customFormat="1" ht="45" customHeight="1" outlineLevel="1" x14ac:dyDescent="0.25">
      <c r="A94" s="442"/>
      <c r="B94" s="444"/>
      <c r="C94" s="446"/>
      <c r="D94" s="446"/>
      <c r="E94" s="118"/>
      <c r="F94" s="118"/>
      <c r="G94" s="118"/>
      <c r="H94" s="118"/>
      <c r="I94" s="118"/>
      <c r="J94" s="118"/>
      <c r="K94" s="448"/>
      <c r="L94" s="448"/>
      <c r="M94" s="119" t="s">
        <v>51</v>
      </c>
      <c r="N94" s="120">
        <v>28883700</v>
      </c>
      <c r="O94" s="23">
        <f t="shared" si="15"/>
        <v>71354.776550804119</v>
      </c>
      <c r="P94" s="22">
        <v>28883700</v>
      </c>
      <c r="Q94" s="121"/>
      <c r="R94" s="22"/>
      <c r="S94" s="22"/>
      <c r="T94" s="111">
        <f t="shared" si="18"/>
        <v>28883700</v>
      </c>
      <c r="U94" s="105">
        <f t="shared" si="16"/>
        <v>71354.776550804119</v>
      </c>
      <c r="V94" s="451"/>
      <c r="W94" s="117"/>
      <c r="X94" s="96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  <c r="TC94" s="97"/>
      <c r="TD94" s="97"/>
      <c r="TE94" s="97"/>
      <c r="TF94" s="97"/>
      <c r="TG94" s="97"/>
      <c r="TH94" s="97"/>
      <c r="TI94" s="97"/>
      <c r="TJ94" s="97"/>
      <c r="TK94" s="97"/>
      <c r="TL94" s="97"/>
      <c r="TM94" s="97"/>
      <c r="TN94" s="97"/>
      <c r="TO94" s="97"/>
      <c r="TP94" s="97"/>
      <c r="TQ94" s="97"/>
      <c r="TR94" s="97"/>
      <c r="TS94" s="97"/>
      <c r="TT94" s="97"/>
      <c r="TU94" s="97"/>
      <c r="TV94" s="97"/>
      <c r="TW94" s="97"/>
      <c r="TX94" s="97"/>
      <c r="TY94" s="97"/>
      <c r="TZ94" s="97"/>
      <c r="UA94" s="97"/>
      <c r="UB94" s="97"/>
      <c r="UC94" s="97"/>
      <c r="UD94" s="97"/>
      <c r="UE94" s="97"/>
      <c r="UF94" s="97"/>
      <c r="UG94" s="97"/>
      <c r="UH94" s="97"/>
      <c r="UI94" s="97"/>
      <c r="UJ94" s="97"/>
      <c r="UK94" s="97"/>
      <c r="UL94" s="97"/>
      <c r="UM94" s="97"/>
      <c r="UN94" s="97"/>
      <c r="UO94" s="97"/>
      <c r="UP94" s="97"/>
      <c r="UQ94" s="97"/>
      <c r="UR94" s="97"/>
      <c r="US94" s="97"/>
      <c r="UT94" s="97"/>
      <c r="UU94" s="97"/>
      <c r="UV94" s="97"/>
      <c r="UW94" s="97"/>
      <c r="UX94" s="97"/>
      <c r="UY94" s="97"/>
      <c r="UZ94" s="97"/>
      <c r="VA94" s="97"/>
      <c r="VB94" s="97"/>
      <c r="VC94" s="97"/>
      <c r="VD94" s="97"/>
      <c r="VE94" s="97"/>
      <c r="VF94" s="97"/>
      <c r="VG94" s="97"/>
      <c r="VH94" s="97"/>
      <c r="VI94" s="97"/>
      <c r="VJ94" s="97"/>
      <c r="VK94" s="97"/>
      <c r="VL94" s="97"/>
      <c r="VM94" s="97"/>
      <c r="VN94" s="97"/>
      <c r="VO94" s="97"/>
      <c r="VP94" s="97"/>
      <c r="VQ94" s="97"/>
      <c r="VR94" s="97"/>
      <c r="VS94" s="97"/>
      <c r="VT94" s="97"/>
      <c r="VU94" s="97"/>
      <c r="VV94" s="97"/>
      <c r="VW94" s="97"/>
      <c r="VX94" s="97"/>
      <c r="VY94" s="97"/>
      <c r="VZ94" s="97"/>
      <c r="WA94" s="97"/>
      <c r="WB94" s="97"/>
      <c r="WC94" s="97"/>
      <c r="WD94" s="97"/>
      <c r="WE94" s="97"/>
      <c r="WF94" s="97"/>
      <c r="WG94" s="97"/>
      <c r="WH94" s="97"/>
      <c r="WI94" s="97"/>
      <c r="WJ94" s="97"/>
      <c r="WK94" s="97"/>
      <c r="WL94" s="97"/>
      <c r="WM94" s="97"/>
      <c r="WN94" s="97"/>
      <c r="WO94" s="97"/>
      <c r="WP94" s="97"/>
      <c r="WQ94" s="97"/>
      <c r="WR94" s="97"/>
      <c r="WS94" s="97"/>
      <c r="WT94" s="97"/>
      <c r="WU94" s="97"/>
      <c r="WV94" s="97"/>
      <c r="WW94" s="97"/>
      <c r="WX94" s="97"/>
      <c r="WY94" s="97"/>
      <c r="WZ94" s="97"/>
      <c r="XA94" s="97"/>
      <c r="XB94" s="97"/>
      <c r="XC94" s="97"/>
      <c r="XD94" s="97"/>
      <c r="XE94" s="97"/>
      <c r="XF94" s="97"/>
      <c r="XG94" s="97"/>
      <c r="XH94" s="97"/>
      <c r="XI94" s="97"/>
      <c r="XJ94" s="97"/>
      <c r="XK94" s="97"/>
      <c r="XL94" s="97"/>
      <c r="XM94" s="97"/>
      <c r="XN94" s="97"/>
      <c r="XO94" s="97"/>
      <c r="XP94" s="97"/>
      <c r="XQ94" s="97"/>
      <c r="XR94" s="97"/>
      <c r="XS94" s="97"/>
      <c r="XT94" s="97"/>
      <c r="XU94" s="97"/>
      <c r="XV94" s="97"/>
      <c r="XW94" s="97"/>
      <c r="XX94" s="97"/>
      <c r="XY94" s="97"/>
      <c r="XZ94" s="97"/>
      <c r="YA94" s="97"/>
      <c r="YB94" s="97"/>
      <c r="YC94" s="97"/>
      <c r="YD94" s="97"/>
      <c r="YE94" s="97"/>
      <c r="YF94" s="97"/>
      <c r="YG94" s="97"/>
      <c r="YH94" s="97"/>
      <c r="YI94" s="97"/>
      <c r="YJ94" s="97"/>
      <c r="YK94" s="97"/>
      <c r="YL94" s="97"/>
      <c r="YM94" s="97"/>
      <c r="YN94" s="97"/>
      <c r="YO94" s="97"/>
      <c r="YP94" s="97"/>
      <c r="YQ94" s="97"/>
      <c r="YR94" s="97"/>
      <c r="YS94" s="97"/>
      <c r="YT94" s="97"/>
      <c r="YU94" s="97"/>
      <c r="YV94" s="97"/>
      <c r="YW94" s="97"/>
      <c r="YX94" s="97"/>
      <c r="YY94" s="97"/>
      <c r="YZ94" s="97"/>
      <c r="ZA94" s="97"/>
      <c r="ZB94" s="97"/>
      <c r="ZC94" s="97"/>
      <c r="ZD94" s="97"/>
      <c r="ZE94" s="97"/>
      <c r="ZF94" s="97"/>
      <c r="ZG94" s="97"/>
      <c r="ZH94" s="97"/>
      <c r="ZI94" s="97"/>
      <c r="ZJ94" s="97"/>
      <c r="ZK94" s="97"/>
      <c r="ZL94" s="97"/>
      <c r="ZM94" s="97"/>
      <c r="ZN94" s="97"/>
      <c r="ZO94" s="97"/>
      <c r="ZP94" s="97"/>
      <c r="ZQ94" s="97"/>
      <c r="ZR94" s="97"/>
      <c r="ZS94" s="97"/>
      <c r="ZT94" s="97"/>
      <c r="ZU94" s="97"/>
      <c r="ZV94" s="97"/>
      <c r="ZW94" s="97"/>
      <c r="ZX94" s="97"/>
      <c r="ZY94" s="97"/>
      <c r="ZZ94" s="97"/>
      <c r="AAA94" s="97"/>
      <c r="AAB94" s="97"/>
      <c r="AAC94" s="97"/>
      <c r="AAD94" s="97"/>
      <c r="AAE94" s="97"/>
      <c r="AAF94" s="97"/>
      <c r="AAG94" s="97"/>
      <c r="AAH94" s="97"/>
      <c r="AAI94" s="97"/>
      <c r="AAJ94" s="97"/>
      <c r="AAK94" s="97"/>
      <c r="AAL94" s="97"/>
      <c r="AAM94" s="97"/>
      <c r="AAN94" s="97"/>
      <c r="AAO94" s="97"/>
      <c r="AAP94" s="97"/>
      <c r="AAQ94" s="97"/>
      <c r="AAR94" s="97"/>
      <c r="AAS94" s="97"/>
      <c r="AAT94" s="97"/>
      <c r="AAU94" s="97"/>
      <c r="AAV94" s="97"/>
      <c r="AAW94" s="97"/>
      <c r="AAX94" s="97"/>
      <c r="AAY94" s="97"/>
      <c r="AAZ94" s="97"/>
      <c r="ABA94" s="97"/>
      <c r="ABB94" s="97"/>
      <c r="ABC94" s="97"/>
      <c r="ABD94" s="97"/>
      <c r="ABE94" s="97"/>
      <c r="ABF94" s="97"/>
      <c r="ABG94" s="97"/>
      <c r="ABH94" s="97"/>
      <c r="ABI94" s="97"/>
      <c r="ABJ94" s="97"/>
      <c r="ABK94" s="97"/>
      <c r="ABL94" s="97"/>
      <c r="ABM94" s="97"/>
      <c r="ABN94" s="97"/>
      <c r="ABO94" s="97"/>
      <c r="ABP94" s="97"/>
      <c r="ABQ94" s="97"/>
      <c r="ABR94" s="97"/>
      <c r="ABS94" s="97"/>
      <c r="ABT94" s="97"/>
      <c r="ABU94" s="97"/>
      <c r="ABV94" s="97"/>
      <c r="ABW94" s="97"/>
      <c r="ABX94" s="97"/>
      <c r="ABY94" s="97"/>
      <c r="ABZ94" s="97"/>
      <c r="ACA94" s="97"/>
      <c r="ACB94" s="97"/>
      <c r="ACC94" s="97"/>
      <c r="ACD94" s="97"/>
      <c r="ACE94" s="97"/>
      <c r="ACF94" s="97"/>
      <c r="ACG94" s="97"/>
      <c r="ACH94" s="97"/>
      <c r="ACI94" s="97"/>
      <c r="ACJ94" s="97"/>
      <c r="ACK94" s="97"/>
      <c r="ACL94" s="97"/>
      <c r="ACM94" s="97"/>
      <c r="ACN94" s="97"/>
      <c r="ACO94" s="97"/>
      <c r="ACP94" s="97"/>
      <c r="ACQ94" s="97"/>
      <c r="ACR94" s="97"/>
      <c r="ACS94" s="97"/>
      <c r="ACT94" s="97"/>
      <c r="ACU94" s="97"/>
      <c r="ACV94" s="97"/>
      <c r="ACW94" s="97"/>
      <c r="ACX94" s="97"/>
      <c r="ACY94" s="97"/>
      <c r="ACZ94" s="97"/>
      <c r="ADA94" s="97"/>
      <c r="ADB94" s="97"/>
      <c r="ADC94" s="97"/>
      <c r="ADD94" s="97"/>
      <c r="ADE94" s="97"/>
      <c r="ADF94" s="97"/>
      <c r="ADG94" s="97"/>
      <c r="ADH94" s="97"/>
      <c r="ADI94" s="97"/>
      <c r="ADJ94" s="97"/>
      <c r="ADK94" s="97"/>
      <c r="ADL94" s="97"/>
      <c r="ADM94" s="97"/>
      <c r="ADN94" s="97"/>
      <c r="ADO94" s="97"/>
      <c r="ADP94" s="97"/>
      <c r="ADQ94" s="97"/>
      <c r="ADR94" s="97"/>
      <c r="ADS94" s="97"/>
      <c r="ADT94" s="97"/>
      <c r="ADU94" s="97"/>
      <c r="ADV94" s="97"/>
      <c r="ADW94" s="97"/>
      <c r="ADX94" s="97"/>
      <c r="ADY94" s="97"/>
      <c r="ADZ94" s="97"/>
      <c r="AEA94" s="97"/>
      <c r="AEB94" s="97"/>
      <c r="AEC94" s="97"/>
      <c r="AED94" s="97"/>
      <c r="AEE94" s="97"/>
      <c r="AEF94" s="97"/>
      <c r="AEG94" s="97"/>
      <c r="AEH94" s="97"/>
      <c r="AEI94" s="97"/>
      <c r="AEJ94" s="97"/>
      <c r="AEK94" s="97"/>
      <c r="AEL94" s="97"/>
      <c r="AEM94" s="97"/>
      <c r="AEN94" s="97"/>
      <c r="AEO94" s="97"/>
      <c r="AEP94" s="97"/>
      <c r="AEQ94" s="97"/>
      <c r="AER94" s="97"/>
      <c r="AES94" s="97"/>
      <c r="AET94" s="97"/>
      <c r="AEU94" s="97"/>
      <c r="AEV94" s="97"/>
      <c r="AEW94" s="97"/>
      <c r="AEX94" s="97"/>
      <c r="AEY94" s="97"/>
      <c r="AEZ94" s="97"/>
      <c r="AFA94" s="97"/>
      <c r="AFB94" s="97"/>
      <c r="AFC94" s="97"/>
      <c r="AFD94" s="97"/>
      <c r="AFE94" s="97"/>
      <c r="AFF94" s="97"/>
      <c r="AFG94" s="97"/>
      <c r="AFH94" s="97"/>
      <c r="AFI94" s="97"/>
      <c r="AFJ94" s="97"/>
      <c r="AFK94" s="97"/>
      <c r="AFL94" s="97"/>
      <c r="AFM94" s="97"/>
      <c r="AFN94" s="97"/>
      <c r="AFO94" s="97"/>
      <c r="AFP94" s="97"/>
      <c r="AFQ94" s="97"/>
      <c r="AFR94" s="97"/>
      <c r="AFS94" s="97"/>
      <c r="AFT94" s="97"/>
      <c r="AFU94" s="97"/>
      <c r="AFV94" s="97"/>
      <c r="AFW94" s="97"/>
      <c r="AFX94" s="97"/>
      <c r="AFY94" s="97"/>
      <c r="AFZ94" s="97"/>
      <c r="AGA94" s="97"/>
      <c r="AGB94" s="97"/>
      <c r="AGC94" s="97"/>
      <c r="AGD94" s="97"/>
      <c r="AGE94" s="97"/>
      <c r="AGF94" s="97"/>
      <c r="AGG94" s="97"/>
      <c r="AGH94" s="97"/>
      <c r="AGI94" s="97"/>
      <c r="AGJ94" s="97"/>
      <c r="AGK94" s="97"/>
      <c r="AGL94" s="97"/>
      <c r="AGM94" s="97"/>
      <c r="AGN94" s="97"/>
      <c r="AGO94" s="97"/>
      <c r="AGP94" s="97"/>
      <c r="AGQ94" s="97"/>
      <c r="AGR94" s="97"/>
      <c r="AGS94" s="97"/>
      <c r="AGT94" s="97"/>
      <c r="AGU94" s="97"/>
      <c r="AGV94" s="97"/>
      <c r="AGW94" s="97"/>
      <c r="AGX94" s="97"/>
      <c r="AGY94" s="97"/>
      <c r="AGZ94" s="97"/>
      <c r="AHA94" s="97"/>
      <c r="AHB94" s="97"/>
      <c r="AHC94" s="97"/>
      <c r="AHD94" s="97"/>
      <c r="AHE94" s="97"/>
      <c r="AHF94" s="97"/>
      <c r="AHG94" s="97"/>
      <c r="AHH94" s="97"/>
      <c r="AHI94" s="97"/>
      <c r="AHJ94" s="97"/>
      <c r="AHK94" s="97"/>
      <c r="AHL94" s="97"/>
      <c r="AHM94" s="97"/>
      <c r="AHN94" s="97"/>
      <c r="AHO94" s="97"/>
      <c r="AHP94" s="97"/>
      <c r="AHQ94" s="97"/>
      <c r="AHR94" s="97"/>
      <c r="AHS94" s="97"/>
      <c r="AHT94" s="97"/>
      <c r="AHU94" s="97"/>
      <c r="AHV94" s="97"/>
      <c r="AHW94" s="97"/>
      <c r="AHX94" s="97"/>
      <c r="AHY94" s="97"/>
      <c r="AHZ94" s="97"/>
      <c r="AIA94" s="97"/>
      <c r="AIB94" s="97"/>
      <c r="AIC94" s="97"/>
      <c r="AID94" s="97"/>
      <c r="AIE94" s="97"/>
      <c r="AIF94" s="97"/>
      <c r="AIG94" s="97"/>
      <c r="AIH94" s="97"/>
      <c r="AII94" s="97"/>
      <c r="AIJ94" s="97"/>
      <c r="AIK94" s="97"/>
      <c r="AIL94" s="97"/>
      <c r="AIM94" s="97"/>
      <c r="AIN94" s="97"/>
      <c r="AIO94" s="97"/>
      <c r="AIP94" s="97"/>
      <c r="AIQ94" s="97"/>
      <c r="AIR94" s="97"/>
      <c r="AIS94" s="97"/>
      <c r="AIT94" s="97"/>
      <c r="AIU94" s="97"/>
      <c r="AIV94" s="97"/>
      <c r="AIW94" s="97"/>
      <c r="AIX94" s="97"/>
      <c r="AIY94" s="97"/>
      <c r="AIZ94" s="97"/>
      <c r="AJA94" s="97"/>
      <c r="AJB94" s="97"/>
      <c r="AJC94" s="97"/>
    </row>
    <row r="95" spans="1:939" s="36" customFormat="1" ht="40.5" customHeight="1" outlineLevel="1" x14ac:dyDescent="0.25">
      <c r="A95" s="122">
        <v>60</v>
      </c>
      <c r="B95" s="123" t="s">
        <v>175</v>
      </c>
      <c r="C95" s="303" t="s">
        <v>151</v>
      </c>
      <c r="D95" s="303" t="s">
        <v>103</v>
      </c>
      <c r="E95" s="303"/>
      <c r="F95" s="303"/>
      <c r="G95" s="303"/>
      <c r="H95" s="303"/>
      <c r="I95" s="303"/>
      <c r="J95" s="303"/>
      <c r="K95" s="303" t="s">
        <v>104</v>
      </c>
      <c r="L95" s="303" t="s">
        <v>105</v>
      </c>
      <c r="M95" s="303" t="s">
        <v>51</v>
      </c>
      <c r="N95" s="124">
        <v>303444194</v>
      </c>
      <c r="O95" s="124">
        <f>IF(M95=$B$150,N95,IF(M95=$B$152,N95*$C$152/$C$150,IF(M95=$B$151,N95*$C$151/$C$150,IF(M95=$B$153,N95*$C$153/$C$150,IF(M95=$B$149,N95/$C$150)))))</f>
        <v>749633.62237209419</v>
      </c>
      <c r="P95" s="124">
        <v>303444194</v>
      </c>
      <c r="Q95" s="121">
        <v>0</v>
      </c>
      <c r="R95" s="124"/>
      <c r="S95" s="124"/>
      <c r="T95" s="125">
        <f t="shared" si="18"/>
        <v>303444194</v>
      </c>
      <c r="U95" s="124">
        <f>IF(M95=$B$150,T95,IF(M95=$B$152,T95*$C$152/$C$150,IF(M95=$B$151,T95*$C$151/$C$150,IF(M95=$B$153,T95*$C$153/$C$150,IF(M95=$B$149,T95/$C$150)))))</f>
        <v>749633.62237209419</v>
      </c>
      <c r="V95" s="306" t="s">
        <v>111</v>
      </c>
      <c r="W95" s="293"/>
      <c r="X95" s="34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  <c r="QR95" s="35"/>
      <c r="QS95" s="35"/>
      <c r="QT95" s="35"/>
      <c r="QU95" s="35"/>
      <c r="QV95" s="35"/>
      <c r="QW95" s="35"/>
      <c r="QX95" s="35"/>
      <c r="QY95" s="35"/>
      <c r="QZ95" s="35"/>
      <c r="RA95" s="35"/>
      <c r="RB95" s="35"/>
      <c r="RC95" s="35"/>
      <c r="RD95" s="35"/>
      <c r="RE95" s="35"/>
      <c r="RF95" s="35"/>
      <c r="RG95" s="35"/>
      <c r="RH95" s="35"/>
      <c r="RI95" s="35"/>
      <c r="RJ95" s="35"/>
      <c r="RK95" s="35"/>
      <c r="RL95" s="35"/>
      <c r="RM95" s="35"/>
      <c r="RN95" s="35"/>
      <c r="RO95" s="35"/>
      <c r="RP95" s="35"/>
      <c r="RQ95" s="35"/>
      <c r="RR95" s="35"/>
      <c r="RS95" s="35"/>
      <c r="RT95" s="35"/>
      <c r="RU95" s="35"/>
      <c r="RV95" s="35"/>
      <c r="RW95" s="35"/>
      <c r="RX95" s="35"/>
      <c r="RY95" s="35"/>
      <c r="RZ95" s="35"/>
      <c r="SA95" s="35"/>
      <c r="SB95" s="35"/>
      <c r="SC95" s="35"/>
      <c r="SD95" s="35"/>
      <c r="SE95" s="35"/>
      <c r="SF95" s="35"/>
      <c r="SG95" s="35"/>
      <c r="SH95" s="35"/>
      <c r="SI95" s="35"/>
      <c r="SJ95" s="35"/>
      <c r="SK95" s="35"/>
      <c r="SL95" s="35"/>
      <c r="SM95" s="35"/>
      <c r="SN95" s="35"/>
      <c r="SO95" s="35"/>
      <c r="SP95" s="35"/>
      <c r="SQ95" s="35"/>
      <c r="SR95" s="35"/>
      <c r="SS95" s="35"/>
      <c r="ST95" s="35"/>
      <c r="SU95" s="35"/>
      <c r="SV95" s="35"/>
      <c r="SW95" s="35"/>
      <c r="SX95" s="35"/>
      <c r="SY95" s="35"/>
      <c r="SZ95" s="35"/>
      <c r="TA95" s="35"/>
      <c r="TB95" s="35"/>
      <c r="TC95" s="35"/>
      <c r="TD95" s="35"/>
      <c r="TE95" s="35"/>
      <c r="TF95" s="35"/>
      <c r="TG95" s="35"/>
      <c r="TH95" s="35"/>
      <c r="TI95" s="35"/>
      <c r="TJ95" s="35"/>
      <c r="TK95" s="35"/>
      <c r="TL95" s="35"/>
      <c r="TM95" s="35"/>
      <c r="TN95" s="35"/>
      <c r="TO95" s="35"/>
      <c r="TP95" s="35"/>
      <c r="TQ95" s="35"/>
      <c r="TR95" s="35"/>
      <c r="TS95" s="35"/>
      <c r="TT95" s="35"/>
      <c r="TU95" s="35"/>
      <c r="TV95" s="35"/>
      <c r="TW95" s="35"/>
      <c r="TX95" s="35"/>
      <c r="TY95" s="35"/>
      <c r="TZ95" s="35"/>
      <c r="UA95" s="35"/>
      <c r="UB95" s="35"/>
      <c r="UC95" s="35"/>
      <c r="UD95" s="35"/>
      <c r="UE95" s="35"/>
      <c r="UF95" s="35"/>
      <c r="UG95" s="35"/>
      <c r="UH95" s="35"/>
      <c r="UI95" s="35"/>
      <c r="UJ95" s="35"/>
      <c r="UK95" s="35"/>
      <c r="UL95" s="35"/>
      <c r="UM95" s="35"/>
      <c r="UN95" s="35"/>
      <c r="UO95" s="35"/>
      <c r="UP95" s="35"/>
      <c r="UQ95" s="35"/>
      <c r="UR95" s="35"/>
      <c r="US95" s="35"/>
      <c r="UT95" s="35"/>
      <c r="UU95" s="35"/>
      <c r="UV95" s="35"/>
      <c r="UW95" s="35"/>
      <c r="UX95" s="35"/>
      <c r="UY95" s="35"/>
      <c r="UZ95" s="35"/>
      <c r="VA95" s="35"/>
      <c r="VB95" s="35"/>
      <c r="VC95" s="35"/>
      <c r="VD95" s="35"/>
      <c r="VE95" s="35"/>
      <c r="VF95" s="35"/>
      <c r="VG95" s="35"/>
      <c r="VH95" s="35"/>
      <c r="VI95" s="35"/>
      <c r="VJ95" s="35"/>
      <c r="VK95" s="35"/>
      <c r="VL95" s="35"/>
      <c r="VM95" s="35"/>
      <c r="VN95" s="35"/>
      <c r="VO95" s="35"/>
      <c r="VP95" s="35"/>
      <c r="VQ95" s="35"/>
      <c r="VR95" s="35"/>
      <c r="VS95" s="35"/>
      <c r="VT95" s="35"/>
      <c r="VU95" s="35"/>
      <c r="VV95" s="35"/>
      <c r="VW95" s="35"/>
      <c r="VX95" s="35"/>
      <c r="VY95" s="35"/>
      <c r="VZ95" s="35"/>
      <c r="WA95" s="35"/>
      <c r="WB95" s="35"/>
      <c r="WC95" s="35"/>
      <c r="WD95" s="35"/>
      <c r="WE95" s="35"/>
      <c r="WF95" s="35"/>
      <c r="WG95" s="35"/>
      <c r="WH95" s="35"/>
      <c r="WI95" s="35"/>
      <c r="WJ95" s="35"/>
      <c r="WK95" s="35"/>
      <c r="WL95" s="35"/>
      <c r="WM95" s="35"/>
      <c r="WN95" s="35"/>
      <c r="WO95" s="35"/>
      <c r="WP95" s="35"/>
      <c r="WQ95" s="35"/>
      <c r="WR95" s="35"/>
      <c r="WS95" s="35"/>
      <c r="WT95" s="35"/>
      <c r="WU95" s="35"/>
      <c r="WV95" s="35"/>
      <c r="WW95" s="35"/>
      <c r="WX95" s="35"/>
      <c r="WY95" s="35"/>
      <c r="WZ95" s="35"/>
      <c r="XA95" s="35"/>
      <c r="XB95" s="35"/>
      <c r="XC95" s="35"/>
      <c r="XD95" s="35"/>
      <c r="XE95" s="35"/>
      <c r="XF95" s="35"/>
      <c r="XG95" s="35"/>
      <c r="XH95" s="35"/>
      <c r="XI95" s="35"/>
      <c r="XJ95" s="35"/>
      <c r="XK95" s="35"/>
      <c r="XL95" s="35"/>
      <c r="XM95" s="35"/>
      <c r="XN95" s="35"/>
      <c r="XO95" s="35"/>
      <c r="XP95" s="35"/>
      <c r="XQ95" s="35"/>
      <c r="XR95" s="35"/>
      <c r="XS95" s="35"/>
      <c r="XT95" s="35"/>
      <c r="XU95" s="35"/>
      <c r="XV95" s="35"/>
      <c r="XW95" s="35"/>
      <c r="XX95" s="35"/>
      <c r="XY95" s="35"/>
      <c r="XZ95" s="35"/>
      <c r="YA95" s="35"/>
      <c r="YB95" s="35"/>
      <c r="YC95" s="35"/>
      <c r="YD95" s="35"/>
      <c r="YE95" s="35"/>
      <c r="YF95" s="35"/>
      <c r="YG95" s="35"/>
      <c r="YH95" s="35"/>
      <c r="YI95" s="35"/>
      <c r="YJ95" s="35"/>
      <c r="YK95" s="35"/>
      <c r="YL95" s="35"/>
      <c r="YM95" s="35"/>
      <c r="YN95" s="35"/>
      <c r="YO95" s="35"/>
      <c r="YP95" s="35"/>
      <c r="YQ95" s="35"/>
      <c r="YR95" s="35"/>
      <c r="YS95" s="35"/>
      <c r="YT95" s="35"/>
      <c r="YU95" s="35"/>
      <c r="YV95" s="35"/>
      <c r="YW95" s="35"/>
      <c r="YX95" s="35"/>
      <c r="YY95" s="35"/>
      <c r="YZ95" s="35"/>
      <c r="ZA95" s="35"/>
      <c r="ZB95" s="35"/>
      <c r="ZC95" s="35"/>
      <c r="ZD95" s="35"/>
      <c r="ZE95" s="35"/>
      <c r="ZF95" s="35"/>
      <c r="ZG95" s="35"/>
      <c r="ZH95" s="35"/>
      <c r="ZI95" s="35"/>
      <c r="ZJ95" s="35"/>
      <c r="ZK95" s="35"/>
      <c r="ZL95" s="35"/>
      <c r="ZM95" s="35"/>
      <c r="ZN95" s="35"/>
      <c r="ZO95" s="35"/>
      <c r="ZP95" s="35"/>
      <c r="ZQ95" s="35"/>
      <c r="ZR95" s="35"/>
      <c r="ZS95" s="35"/>
      <c r="ZT95" s="35"/>
      <c r="ZU95" s="35"/>
      <c r="ZV95" s="35"/>
      <c r="ZW95" s="35"/>
      <c r="ZX95" s="35"/>
      <c r="ZY95" s="35"/>
      <c r="ZZ95" s="35"/>
      <c r="AAA95" s="35"/>
      <c r="AAB95" s="35"/>
      <c r="AAC95" s="35"/>
      <c r="AAD95" s="35"/>
      <c r="AAE95" s="35"/>
      <c r="AAF95" s="35"/>
      <c r="AAG95" s="35"/>
      <c r="AAH95" s="35"/>
      <c r="AAI95" s="35"/>
      <c r="AAJ95" s="35"/>
      <c r="AAK95" s="35"/>
      <c r="AAL95" s="35"/>
      <c r="AAM95" s="35"/>
      <c r="AAN95" s="35"/>
      <c r="AAO95" s="35"/>
      <c r="AAP95" s="35"/>
      <c r="AAQ95" s="35"/>
      <c r="AAR95" s="35"/>
      <c r="AAS95" s="35"/>
      <c r="AAT95" s="35"/>
      <c r="AAU95" s="35"/>
      <c r="AAV95" s="35"/>
      <c r="AAW95" s="35"/>
      <c r="AAX95" s="35"/>
      <c r="AAY95" s="35"/>
      <c r="AAZ95" s="35"/>
      <c r="ABA95" s="35"/>
      <c r="ABB95" s="35"/>
      <c r="ABC95" s="35"/>
      <c r="ABD95" s="35"/>
      <c r="ABE95" s="35"/>
      <c r="ABF95" s="35"/>
      <c r="ABG95" s="35"/>
      <c r="ABH95" s="35"/>
      <c r="ABI95" s="35"/>
      <c r="ABJ95" s="35"/>
      <c r="ABK95" s="35"/>
      <c r="ABL95" s="35"/>
      <c r="ABM95" s="35"/>
      <c r="ABN95" s="35"/>
      <c r="ABO95" s="35"/>
      <c r="ABP95" s="35"/>
      <c r="ABQ95" s="35"/>
      <c r="ABR95" s="35"/>
      <c r="ABS95" s="35"/>
      <c r="ABT95" s="35"/>
      <c r="ABU95" s="35"/>
      <c r="ABV95" s="35"/>
      <c r="ABW95" s="35"/>
      <c r="ABX95" s="35"/>
      <c r="ABY95" s="35"/>
      <c r="ABZ95" s="35"/>
      <c r="ACA95" s="35"/>
      <c r="ACB95" s="35"/>
      <c r="ACC95" s="35"/>
      <c r="ACD95" s="35"/>
      <c r="ACE95" s="35"/>
      <c r="ACF95" s="35"/>
      <c r="ACG95" s="35"/>
      <c r="ACH95" s="35"/>
      <c r="ACI95" s="35"/>
      <c r="ACJ95" s="35"/>
      <c r="ACK95" s="35"/>
      <c r="ACL95" s="35"/>
      <c r="ACM95" s="35"/>
      <c r="ACN95" s="35"/>
      <c r="ACO95" s="35"/>
      <c r="ACP95" s="35"/>
      <c r="ACQ95" s="35"/>
      <c r="ACR95" s="35"/>
      <c r="ACS95" s="35"/>
      <c r="ACT95" s="35"/>
      <c r="ACU95" s="35"/>
      <c r="ACV95" s="35"/>
      <c r="ACW95" s="35"/>
      <c r="ACX95" s="35"/>
      <c r="ACY95" s="35"/>
      <c r="ACZ95" s="35"/>
      <c r="ADA95" s="35"/>
      <c r="ADB95" s="35"/>
      <c r="ADC95" s="35"/>
      <c r="ADD95" s="35"/>
      <c r="ADE95" s="35"/>
      <c r="ADF95" s="35"/>
      <c r="ADG95" s="35"/>
      <c r="ADH95" s="35"/>
      <c r="ADI95" s="35"/>
      <c r="ADJ95" s="35"/>
      <c r="ADK95" s="35"/>
      <c r="ADL95" s="35"/>
      <c r="ADM95" s="35"/>
      <c r="ADN95" s="35"/>
      <c r="ADO95" s="35"/>
      <c r="ADP95" s="35"/>
      <c r="ADQ95" s="35"/>
      <c r="ADR95" s="35"/>
      <c r="ADS95" s="35"/>
      <c r="ADT95" s="35"/>
      <c r="ADU95" s="35"/>
      <c r="ADV95" s="35"/>
      <c r="ADW95" s="35"/>
      <c r="ADX95" s="35"/>
      <c r="ADY95" s="35"/>
      <c r="ADZ95" s="35"/>
      <c r="AEA95" s="35"/>
      <c r="AEB95" s="35"/>
      <c r="AEC95" s="35"/>
      <c r="AED95" s="35"/>
      <c r="AEE95" s="35"/>
      <c r="AEF95" s="35"/>
      <c r="AEG95" s="35"/>
      <c r="AEH95" s="35"/>
      <c r="AEI95" s="35"/>
      <c r="AEJ95" s="35"/>
      <c r="AEK95" s="35"/>
      <c r="AEL95" s="35"/>
      <c r="AEM95" s="35"/>
      <c r="AEN95" s="35"/>
      <c r="AEO95" s="35"/>
      <c r="AEP95" s="35"/>
      <c r="AEQ95" s="35"/>
      <c r="AER95" s="35"/>
      <c r="AES95" s="35"/>
      <c r="AET95" s="35"/>
      <c r="AEU95" s="35"/>
      <c r="AEV95" s="35"/>
      <c r="AEW95" s="35"/>
      <c r="AEX95" s="35"/>
      <c r="AEY95" s="35"/>
      <c r="AEZ95" s="35"/>
      <c r="AFA95" s="35"/>
      <c r="AFB95" s="35"/>
      <c r="AFC95" s="35"/>
      <c r="AFD95" s="35"/>
      <c r="AFE95" s="35"/>
      <c r="AFF95" s="35"/>
      <c r="AFG95" s="35"/>
      <c r="AFH95" s="35"/>
      <c r="AFI95" s="35"/>
      <c r="AFJ95" s="35"/>
      <c r="AFK95" s="35"/>
      <c r="AFL95" s="35"/>
      <c r="AFM95" s="35"/>
      <c r="AFN95" s="35"/>
      <c r="AFO95" s="35"/>
      <c r="AFP95" s="35"/>
      <c r="AFQ95" s="35"/>
      <c r="AFR95" s="35"/>
      <c r="AFS95" s="35"/>
      <c r="AFT95" s="35"/>
      <c r="AFU95" s="35"/>
      <c r="AFV95" s="35"/>
      <c r="AFW95" s="35"/>
      <c r="AFX95" s="35"/>
      <c r="AFY95" s="35"/>
      <c r="AFZ95" s="35"/>
      <c r="AGA95" s="35"/>
      <c r="AGB95" s="35"/>
      <c r="AGC95" s="35"/>
      <c r="AGD95" s="35"/>
      <c r="AGE95" s="35"/>
      <c r="AGF95" s="35"/>
      <c r="AGG95" s="35"/>
      <c r="AGH95" s="35"/>
      <c r="AGI95" s="35"/>
      <c r="AGJ95" s="35"/>
      <c r="AGK95" s="35"/>
      <c r="AGL95" s="35"/>
      <c r="AGM95" s="35"/>
      <c r="AGN95" s="35"/>
      <c r="AGO95" s="35"/>
      <c r="AGP95" s="35"/>
      <c r="AGQ95" s="35"/>
      <c r="AGR95" s="35"/>
      <c r="AGS95" s="35"/>
      <c r="AGT95" s="35"/>
      <c r="AGU95" s="35"/>
      <c r="AGV95" s="35"/>
      <c r="AGW95" s="35"/>
      <c r="AGX95" s="35"/>
      <c r="AGY95" s="35"/>
      <c r="AGZ95" s="35"/>
      <c r="AHA95" s="35"/>
      <c r="AHB95" s="35"/>
      <c r="AHC95" s="35"/>
      <c r="AHD95" s="35"/>
      <c r="AHE95" s="35"/>
      <c r="AHF95" s="35"/>
      <c r="AHG95" s="35"/>
      <c r="AHH95" s="35"/>
      <c r="AHI95" s="35"/>
      <c r="AHJ95" s="35"/>
      <c r="AHK95" s="35"/>
      <c r="AHL95" s="35"/>
      <c r="AHM95" s="35"/>
      <c r="AHN95" s="35"/>
      <c r="AHO95" s="35"/>
      <c r="AHP95" s="35"/>
      <c r="AHQ95" s="35"/>
      <c r="AHR95" s="35"/>
      <c r="AHS95" s="35"/>
      <c r="AHT95" s="35"/>
      <c r="AHU95" s="35"/>
      <c r="AHV95" s="35"/>
      <c r="AHW95" s="35"/>
      <c r="AHX95" s="35"/>
      <c r="AHY95" s="35"/>
      <c r="AHZ95" s="35"/>
      <c r="AIA95" s="35"/>
      <c r="AIB95" s="35"/>
      <c r="AIC95" s="35"/>
      <c r="AID95" s="35"/>
      <c r="AIE95" s="35"/>
      <c r="AIF95" s="35"/>
      <c r="AIG95" s="35"/>
      <c r="AIH95" s="35"/>
      <c r="AII95" s="35"/>
      <c r="AIJ95" s="35"/>
      <c r="AIK95" s="35"/>
      <c r="AIL95" s="35"/>
      <c r="AIM95" s="35"/>
      <c r="AIN95" s="35"/>
      <c r="AIO95" s="35"/>
      <c r="AIP95" s="35"/>
      <c r="AIQ95" s="35"/>
      <c r="AIR95" s="35"/>
      <c r="AIS95" s="35"/>
      <c r="AIT95" s="35"/>
      <c r="AIU95" s="35"/>
      <c r="AIV95" s="35"/>
      <c r="AIW95" s="35"/>
      <c r="AIX95" s="35"/>
      <c r="AIY95" s="35"/>
      <c r="AIZ95" s="35"/>
      <c r="AJA95" s="35"/>
      <c r="AJB95" s="35"/>
      <c r="AJC95" s="35"/>
    </row>
    <row r="96" spans="1:939" ht="51" customHeight="1" x14ac:dyDescent="0.25">
      <c r="A96" s="148">
        <v>61</v>
      </c>
      <c r="B96" s="294" t="s">
        <v>404</v>
      </c>
      <c r="C96" s="148" t="s">
        <v>405</v>
      </c>
      <c r="D96" s="148" t="s">
        <v>103</v>
      </c>
      <c r="E96" s="148"/>
      <c r="F96" s="148"/>
      <c r="G96" s="148"/>
      <c r="H96" s="148"/>
      <c r="I96" s="148"/>
      <c r="J96" s="148"/>
      <c r="K96" s="148" t="s">
        <v>406</v>
      </c>
      <c r="L96" s="148" t="s">
        <v>407</v>
      </c>
      <c r="M96" s="148" t="s">
        <v>51</v>
      </c>
      <c r="N96" s="15">
        <v>1600000000</v>
      </c>
      <c r="O96" s="15">
        <f>IF(M96=$B$150,N96,IF(M96=$B$152,N96*$C$152/$C$150,IF(M96=$B$151,N96*$C$151/$C$150,IF(M96=$B$149,N96/$C$150))))</f>
        <v>3952666.8148916722</v>
      </c>
      <c r="P96" s="16">
        <v>1050000000</v>
      </c>
      <c r="Q96" s="165">
        <v>0.06</v>
      </c>
      <c r="R96" s="16"/>
      <c r="S96" s="279">
        <v>14728767</v>
      </c>
      <c r="T96" s="14">
        <f t="shared" si="18"/>
        <v>1050000000</v>
      </c>
      <c r="U96" s="16">
        <f>IF(M96=$B$150,T96,IF(M96=$B$152,T96*$C$152/$C$150,IF(M96=$B$151,T96*$C$151/$C$150,IF(M96=$B$153,T96*$C$153/$C$150,IF(M96=$B$149,T96/$C$150)))))</f>
        <v>2593937.5972726597</v>
      </c>
      <c r="V96" s="148" t="s">
        <v>408</v>
      </c>
      <c r="W96" s="160"/>
    </row>
    <row r="97" spans="1:939" s="258" customFormat="1" ht="47.25" customHeight="1" outlineLevel="1" x14ac:dyDescent="0.25">
      <c r="A97" s="342">
        <v>62</v>
      </c>
      <c r="B97" s="343" t="s">
        <v>409</v>
      </c>
      <c r="C97" s="343" t="s">
        <v>405</v>
      </c>
      <c r="D97" s="343" t="s">
        <v>103</v>
      </c>
      <c r="E97" s="343"/>
      <c r="F97" s="343"/>
      <c r="G97" s="343"/>
      <c r="H97" s="343"/>
      <c r="I97" s="343"/>
      <c r="J97" s="343"/>
      <c r="K97" s="344" t="s">
        <v>410</v>
      </c>
      <c r="L97" s="343" t="s">
        <v>242</v>
      </c>
      <c r="M97" s="343" t="s">
        <v>51</v>
      </c>
      <c r="N97" s="345">
        <v>2000000000</v>
      </c>
      <c r="O97" s="345">
        <f>IF(M97=$B$150,N97,IF(M97=$B$152,N97*$C$152/$C$150,IF(M97=$B$151,N97*$C$151/$C$150,IF(M97=$B$149,N97/$C$150))))</f>
        <v>4940833.5186145902</v>
      </c>
      <c r="P97" s="345">
        <v>2000000000</v>
      </c>
      <c r="Q97" s="346">
        <v>1E-4</v>
      </c>
      <c r="R97" s="345"/>
      <c r="S97" s="345"/>
      <c r="T97" s="347">
        <f t="shared" si="18"/>
        <v>2000000000</v>
      </c>
      <c r="U97" s="345">
        <f>IF(M97=$B$150,T97,IF(M97=$B$152,T97*$C$152/$C$150,IF(M97=$B$151,T97*$C$151/$C$150,IF(M97=$B$153,T97*$C$153/$C$150,IF(M97=$B$149,T97/$C$150)))))</f>
        <v>4940833.5186145902</v>
      </c>
      <c r="V97" s="348" t="s">
        <v>411</v>
      </c>
      <c r="W97" s="349"/>
      <c r="X97" s="34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  <c r="QR97" s="35"/>
      <c r="QS97" s="35"/>
      <c r="QT97" s="35"/>
      <c r="QU97" s="35"/>
      <c r="QV97" s="35"/>
      <c r="QW97" s="35"/>
      <c r="QX97" s="35"/>
      <c r="QY97" s="35"/>
      <c r="QZ97" s="35"/>
      <c r="RA97" s="35"/>
      <c r="RB97" s="35"/>
      <c r="RC97" s="35"/>
      <c r="RD97" s="35"/>
      <c r="RE97" s="35"/>
      <c r="RF97" s="35"/>
      <c r="RG97" s="35"/>
      <c r="RH97" s="35"/>
      <c r="RI97" s="35"/>
      <c r="RJ97" s="35"/>
      <c r="RK97" s="35"/>
      <c r="RL97" s="35"/>
      <c r="RM97" s="35"/>
      <c r="RN97" s="35"/>
      <c r="RO97" s="35"/>
      <c r="RP97" s="35"/>
      <c r="RQ97" s="35"/>
      <c r="RR97" s="35"/>
      <c r="RS97" s="35"/>
      <c r="RT97" s="35"/>
      <c r="RU97" s="35"/>
      <c r="RV97" s="35"/>
      <c r="RW97" s="35"/>
      <c r="RX97" s="35"/>
      <c r="RY97" s="35"/>
      <c r="RZ97" s="35"/>
      <c r="SA97" s="35"/>
      <c r="SB97" s="35"/>
      <c r="SC97" s="35"/>
      <c r="SD97" s="35"/>
      <c r="SE97" s="35"/>
      <c r="SF97" s="35"/>
      <c r="SG97" s="35"/>
      <c r="SH97" s="35"/>
      <c r="SI97" s="35"/>
      <c r="SJ97" s="35"/>
      <c r="SK97" s="35"/>
      <c r="SL97" s="35"/>
      <c r="SM97" s="35"/>
      <c r="SN97" s="35"/>
      <c r="SO97" s="35"/>
      <c r="SP97" s="35"/>
      <c r="SQ97" s="35"/>
      <c r="SR97" s="35"/>
      <c r="SS97" s="35"/>
      <c r="ST97" s="35"/>
      <c r="SU97" s="35"/>
      <c r="SV97" s="35"/>
      <c r="SW97" s="35"/>
      <c r="SX97" s="35"/>
      <c r="SY97" s="35"/>
      <c r="SZ97" s="35"/>
      <c r="TA97" s="35"/>
      <c r="TB97" s="35"/>
      <c r="TC97" s="35"/>
      <c r="TD97" s="35"/>
      <c r="TE97" s="35"/>
      <c r="TF97" s="35"/>
      <c r="TG97" s="35"/>
      <c r="TH97" s="35"/>
      <c r="TI97" s="35"/>
      <c r="TJ97" s="35"/>
      <c r="TK97" s="35"/>
      <c r="TL97" s="35"/>
      <c r="TM97" s="35"/>
      <c r="TN97" s="35"/>
      <c r="TO97" s="35"/>
      <c r="TP97" s="35"/>
      <c r="TQ97" s="35"/>
      <c r="TR97" s="35"/>
      <c r="TS97" s="35"/>
      <c r="TT97" s="35"/>
      <c r="TU97" s="35"/>
      <c r="TV97" s="35"/>
      <c r="TW97" s="35"/>
      <c r="TX97" s="35"/>
      <c r="TY97" s="35"/>
      <c r="TZ97" s="35"/>
      <c r="UA97" s="35"/>
      <c r="UB97" s="35"/>
      <c r="UC97" s="35"/>
      <c r="UD97" s="35"/>
      <c r="UE97" s="35"/>
      <c r="UF97" s="35"/>
      <c r="UG97" s="35"/>
      <c r="UH97" s="35"/>
      <c r="UI97" s="35"/>
      <c r="UJ97" s="35"/>
      <c r="UK97" s="35"/>
      <c r="UL97" s="35"/>
      <c r="UM97" s="35"/>
      <c r="UN97" s="35"/>
      <c r="UO97" s="35"/>
      <c r="UP97" s="35"/>
      <c r="UQ97" s="35"/>
      <c r="UR97" s="35"/>
      <c r="US97" s="35"/>
      <c r="UT97" s="35"/>
      <c r="UU97" s="35"/>
      <c r="UV97" s="35"/>
      <c r="UW97" s="35"/>
      <c r="UX97" s="35"/>
      <c r="UY97" s="35"/>
      <c r="UZ97" s="35"/>
      <c r="VA97" s="35"/>
      <c r="VB97" s="35"/>
      <c r="VC97" s="35"/>
      <c r="VD97" s="35"/>
      <c r="VE97" s="35"/>
      <c r="VF97" s="35"/>
      <c r="VG97" s="35"/>
      <c r="VH97" s="35"/>
      <c r="VI97" s="35"/>
      <c r="VJ97" s="35"/>
      <c r="VK97" s="35"/>
      <c r="VL97" s="35"/>
      <c r="VM97" s="35"/>
      <c r="VN97" s="35"/>
      <c r="VO97" s="35"/>
      <c r="VP97" s="35"/>
      <c r="VQ97" s="35"/>
      <c r="VR97" s="35"/>
      <c r="VS97" s="35"/>
      <c r="VT97" s="35"/>
      <c r="VU97" s="35"/>
      <c r="VV97" s="35"/>
      <c r="VW97" s="35"/>
      <c r="VX97" s="35"/>
      <c r="VY97" s="35"/>
      <c r="VZ97" s="35"/>
      <c r="WA97" s="35"/>
      <c r="WB97" s="35"/>
      <c r="WC97" s="35"/>
      <c r="WD97" s="35"/>
      <c r="WE97" s="35"/>
      <c r="WF97" s="35"/>
      <c r="WG97" s="35"/>
      <c r="WH97" s="35"/>
      <c r="WI97" s="35"/>
      <c r="WJ97" s="35"/>
      <c r="WK97" s="35"/>
      <c r="WL97" s="35"/>
      <c r="WM97" s="35"/>
      <c r="WN97" s="35"/>
      <c r="WO97" s="35"/>
      <c r="WP97" s="35"/>
      <c r="WQ97" s="35"/>
      <c r="WR97" s="35"/>
      <c r="WS97" s="35"/>
      <c r="WT97" s="35"/>
      <c r="WU97" s="35"/>
      <c r="WV97" s="35"/>
      <c r="WW97" s="35"/>
      <c r="WX97" s="35"/>
      <c r="WY97" s="35"/>
      <c r="WZ97" s="35"/>
      <c r="XA97" s="35"/>
      <c r="XB97" s="35"/>
      <c r="XC97" s="35"/>
      <c r="XD97" s="35"/>
      <c r="XE97" s="35"/>
      <c r="XF97" s="35"/>
      <c r="XG97" s="35"/>
      <c r="XH97" s="35"/>
      <c r="XI97" s="35"/>
      <c r="XJ97" s="35"/>
      <c r="XK97" s="35"/>
      <c r="XL97" s="35"/>
      <c r="XM97" s="35"/>
      <c r="XN97" s="35"/>
      <c r="XO97" s="35"/>
      <c r="XP97" s="35"/>
      <c r="XQ97" s="35"/>
      <c r="XR97" s="35"/>
      <c r="XS97" s="35"/>
      <c r="XT97" s="35"/>
      <c r="XU97" s="35"/>
      <c r="XV97" s="35"/>
      <c r="XW97" s="35"/>
      <c r="XX97" s="35"/>
      <c r="XY97" s="35"/>
      <c r="XZ97" s="35"/>
      <c r="YA97" s="35"/>
      <c r="YB97" s="35"/>
      <c r="YC97" s="35"/>
      <c r="YD97" s="35"/>
      <c r="YE97" s="35"/>
      <c r="YF97" s="35"/>
      <c r="YG97" s="35"/>
      <c r="YH97" s="35"/>
      <c r="YI97" s="35"/>
      <c r="YJ97" s="35"/>
      <c r="YK97" s="35"/>
      <c r="YL97" s="35"/>
      <c r="YM97" s="35"/>
      <c r="YN97" s="35"/>
      <c r="YO97" s="35"/>
      <c r="YP97" s="35"/>
      <c r="YQ97" s="35"/>
      <c r="YR97" s="35"/>
      <c r="YS97" s="35"/>
      <c r="YT97" s="35"/>
      <c r="YU97" s="35"/>
      <c r="YV97" s="35"/>
      <c r="YW97" s="35"/>
      <c r="YX97" s="35"/>
      <c r="YY97" s="35"/>
      <c r="YZ97" s="35"/>
      <c r="ZA97" s="35"/>
      <c r="ZB97" s="35"/>
      <c r="ZC97" s="35"/>
      <c r="ZD97" s="35"/>
      <c r="ZE97" s="35"/>
      <c r="ZF97" s="35"/>
      <c r="ZG97" s="35"/>
      <c r="ZH97" s="35"/>
      <c r="ZI97" s="35"/>
      <c r="ZJ97" s="35"/>
      <c r="ZK97" s="35"/>
      <c r="ZL97" s="35"/>
      <c r="ZM97" s="35"/>
      <c r="ZN97" s="35"/>
      <c r="ZO97" s="35"/>
      <c r="ZP97" s="35"/>
      <c r="ZQ97" s="35"/>
      <c r="ZR97" s="35"/>
      <c r="ZS97" s="35"/>
      <c r="ZT97" s="35"/>
      <c r="ZU97" s="35"/>
      <c r="ZV97" s="35"/>
      <c r="ZW97" s="35"/>
      <c r="ZX97" s="35"/>
      <c r="ZY97" s="35"/>
      <c r="ZZ97" s="35"/>
      <c r="AAA97" s="35"/>
      <c r="AAB97" s="35"/>
      <c r="AAC97" s="35"/>
      <c r="AAD97" s="35"/>
      <c r="AAE97" s="35"/>
      <c r="AAF97" s="35"/>
      <c r="AAG97" s="35"/>
      <c r="AAH97" s="35"/>
      <c r="AAI97" s="35"/>
      <c r="AAJ97" s="35"/>
      <c r="AAK97" s="35"/>
      <c r="AAL97" s="35"/>
      <c r="AAM97" s="35"/>
      <c r="AAN97" s="35"/>
      <c r="AAO97" s="35"/>
      <c r="AAP97" s="35"/>
      <c r="AAQ97" s="35"/>
      <c r="AAR97" s="35"/>
      <c r="AAS97" s="35"/>
      <c r="AAT97" s="35"/>
      <c r="AAU97" s="35"/>
      <c r="AAV97" s="35"/>
      <c r="AAW97" s="35"/>
      <c r="AAX97" s="35"/>
      <c r="AAY97" s="35"/>
      <c r="AAZ97" s="35"/>
      <c r="ABA97" s="35"/>
      <c r="ABB97" s="35"/>
      <c r="ABC97" s="35"/>
      <c r="ABD97" s="35"/>
      <c r="ABE97" s="35"/>
      <c r="ABF97" s="35"/>
      <c r="ABG97" s="35"/>
      <c r="ABH97" s="35"/>
      <c r="ABI97" s="35"/>
      <c r="ABJ97" s="35"/>
      <c r="ABK97" s="35"/>
      <c r="ABL97" s="35"/>
      <c r="ABM97" s="35"/>
      <c r="ABN97" s="35"/>
      <c r="ABO97" s="35"/>
      <c r="ABP97" s="35"/>
      <c r="ABQ97" s="35"/>
      <c r="ABR97" s="35"/>
      <c r="ABS97" s="35"/>
      <c r="ABT97" s="35"/>
      <c r="ABU97" s="35"/>
      <c r="ABV97" s="35"/>
      <c r="ABW97" s="35"/>
      <c r="ABX97" s="35"/>
      <c r="ABY97" s="35"/>
      <c r="ABZ97" s="35"/>
      <c r="ACA97" s="35"/>
      <c r="ACB97" s="35"/>
      <c r="ACC97" s="35"/>
      <c r="ACD97" s="35"/>
      <c r="ACE97" s="35"/>
      <c r="ACF97" s="35"/>
      <c r="ACG97" s="35"/>
      <c r="ACH97" s="35"/>
      <c r="ACI97" s="35"/>
      <c r="ACJ97" s="35"/>
      <c r="ACK97" s="35"/>
      <c r="ACL97" s="35"/>
      <c r="ACM97" s="35"/>
      <c r="ACN97" s="35"/>
      <c r="ACO97" s="35"/>
      <c r="ACP97" s="35"/>
      <c r="ACQ97" s="35"/>
      <c r="ACR97" s="35"/>
      <c r="ACS97" s="35"/>
      <c r="ACT97" s="35"/>
      <c r="ACU97" s="35"/>
      <c r="ACV97" s="35"/>
      <c r="ACW97" s="35"/>
      <c r="ACX97" s="35"/>
      <c r="ACY97" s="35"/>
      <c r="ACZ97" s="35"/>
      <c r="ADA97" s="35"/>
      <c r="ADB97" s="35"/>
      <c r="ADC97" s="35"/>
      <c r="ADD97" s="35"/>
      <c r="ADE97" s="35"/>
      <c r="ADF97" s="35"/>
      <c r="ADG97" s="35"/>
      <c r="ADH97" s="35"/>
      <c r="ADI97" s="35"/>
      <c r="ADJ97" s="35"/>
      <c r="ADK97" s="35"/>
      <c r="ADL97" s="35"/>
      <c r="ADM97" s="35"/>
      <c r="ADN97" s="35"/>
      <c r="ADO97" s="35"/>
      <c r="ADP97" s="35"/>
      <c r="ADQ97" s="35"/>
      <c r="ADR97" s="35"/>
      <c r="ADS97" s="35"/>
      <c r="ADT97" s="35"/>
      <c r="ADU97" s="35"/>
      <c r="ADV97" s="35"/>
      <c r="ADW97" s="35"/>
      <c r="ADX97" s="35"/>
      <c r="ADY97" s="35"/>
      <c r="ADZ97" s="35"/>
      <c r="AEA97" s="35"/>
      <c r="AEB97" s="35"/>
      <c r="AEC97" s="35"/>
      <c r="AED97" s="35"/>
      <c r="AEE97" s="35"/>
      <c r="AEF97" s="35"/>
      <c r="AEG97" s="35"/>
      <c r="AEH97" s="35"/>
      <c r="AEI97" s="35"/>
      <c r="AEJ97" s="35"/>
      <c r="AEK97" s="35"/>
      <c r="AEL97" s="35"/>
      <c r="AEM97" s="35"/>
      <c r="AEN97" s="35"/>
      <c r="AEO97" s="35"/>
      <c r="AEP97" s="35"/>
      <c r="AEQ97" s="35"/>
      <c r="AER97" s="35"/>
      <c r="AES97" s="35"/>
      <c r="AET97" s="35"/>
      <c r="AEU97" s="35"/>
      <c r="AEV97" s="35"/>
      <c r="AEW97" s="35"/>
      <c r="AEX97" s="35"/>
      <c r="AEY97" s="35"/>
      <c r="AEZ97" s="35"/>
      <c r="AFA97" s="35"/>
      <c r="AFB97" s="35"/>
      <c r="AFC97" s="35"/>
      <c r="AFD97" s="35"/>
      <c r="AFE97" s="35"/>
      <c r="AFF97" s="35"/>
      <c r="AFG97" s="35"/>
      <c r="AFH97" s="35"/>
      <c r="AFI97" s="35"/>
      <c r="AFJ97" s="35"/>
      <c r="AFK97" s="35"/>
      <c r="AFL97" s="35"/>
      <c r="AFM97" s="35"/>
      <c r="AFN97" s="35"/>
      <c r="AFO97" s="35"/>
      <c r="AFP97" s="35"/>
      <c r="AFQ97" s="35"/>
      <c r="AFR97" s="35"/>
      <c r="AFS97" s="35"/>
      <c r="AFT97" s="35"/>
      <c r="AFU97" s="35"/>
      <c r="AFV97" s="35"/>
      <c r="AFW97" s="35"/>
      <c r="AFX97" s="35"/>
      <c r="AFY97" s="35"/>
      <c r="AFZ97" s="35"/>
      <c r="AGA97" s="35"/>
      <c r="AGB97" s="35"/>
      <c r="AGC97" s="35"/>
      <c r="AGD97" s="35"/>
      <c r="AGE97" s="35"/>
      <c r="AGF97" s="35"/>
      <c r="AGG97" s="35"/>
      <c r="AGH97" s="35"/>
      <c r="AGI97" s="35"/>
      <c r="AGJ97" s="35"/>
      <c r="AGK97" s="35"/>
      <c r="AGL97" s="35"/>
      <c r="AGM97" s="35"/>
      <c r="AGN97" s="35"/>
      <c r="AGO97" s="35"/>
      <c r="AGP97" s="35"/>
      <c r="AGQ97" s="35"/>
      <c r="AGR97" s="35"/>
      <c r="AGS97" s="35"/>
      <c r="AGT97" s="35"/>
      <c r="AGU97" s="35"/>
      <c r="AGV97" s="35"/>
      <c r="AGW97" s="35"/>
      <c r="AGX97" s="35"/>
      <c r="AGY97" s="35"/>
      <c r="AGZ97" s="35"/>
      <c r="AHA97" s="35"/>
      <c r="AHB97" s="35"/>
      <c r="AHC97" s="35"/>
      <c r="AHD97" s="35"/>
      <c r="AHE97" s="35"/>
      <c r="AHF97" s="35"/>
      <c r="AHG97" s="35"/>
      <c r="AHH97" s="35"/>
      <c r="AHI97" s="35"/>
      <c r="AHJ97" s="35"/>
      <c r="AHK97" s="35"/>
      <c r="AHL97" s="35"/>
      <c r="AHM97" s="35"/>
      <c r="AHN97" s="35"/>
      <c r="AHO97" s="35"/>
      <c r="AHP97" s="35"/>
      <c r="AHQ97" s="35"/>
      <c r="AHR97" s="35"/>
      <c r="AHS97" s="35"/>
      <c r="AHT97" s="35"/>
      <c r="AHU97" s="35"/>
      <c r="AHV97" s="35"/>
      <c r="AHW97" s="35"/>
      <c r="AHX97" s="35"/>
      <c r="AHY97" s="35"/>
      <c r="AHZ97" s="35"/>
      <c r="AIA97" s="35"/>
      <c r="AIB97" s="35"/>
      <c r="AIC97" s="35"/>
      <c r="AID97" s="35"/>
      <c r="AIE97" s="35"/>
      <c r="AIF97" s="35"/>
      <c r="AIG97" s="35"/>
      <c r="AIH97" s="35"/>
      <c r="AII97" s="35"/>
      <c r="AIJ97" s="35"/>
      <c r="AIK97" s="35"/>
      <c r="AIL97" s="35"/>
      <c r="AIM97" s="35"/>
      <c r="AIN97" s="35"/>
      <c r="AIO97" s="35"/>
      <c r="AIP97" s="35"/>
      <c r="AIQ97" s="35"/>
      <c r="AIR97" s="35"/>
      <c r="AIS97" s="35"/>
      <c r="AIT97" s="35"/>
      <c r="AIU97" s="35"/>
      <c r="AIV97" s="35"/>
      <c r="AIW97" s="35"/>
      <c r="AIX97" s="35"/>
      <c r="AIY97" s="35"/>
      <c r="AIZ97" s="35"/>
      <c r="AJA97" s="35"/>
      <c r="AJB97" s="35"/>
      <c r="AJC97" s="35"/>
    </row>
    <row r="98" spans="1:939" s="248" customFormat="1" ht="47.25" customHeight="1" outlineLevel="1" x14ac:dyDescent="0.25">
      <c r="A98" s="295">
        <v>63</v>
      </c>
      <c r="B98" s="296" t="s">
        <v>149</v>
      </c>
      <c r="C98" s="296" t="s">
        <v>150</v>
      </c>
      <c r="D98" s="296" t="s">
        <v>146</v>
      </c>
      <c r="E98" s="296" t="s">
        <v>26</v>
      </c>
      <c r="F98" s="296"/>
      <c r="G98" s="296"/>
      <c r="H98" s="296"/>
      <c r="I98" s="296"/>
      <c r="J98" s="296"/>
      <c r="K98" s="297" t="s">
        <v>217</v>
      </c>
      <c r="L98" s="296" t="s">
        <v>331</v>
      </c>
      <c r="M98" s="296" t="s">
        <v>26</v>
      </c>
      <c r="N98" s="298">
        <v>10000000</v>
      </c>
      <c r="O98" s="298">
        <f>IF(M98=$B$150,N98,IF(M98=$B$152,N98*$C$152/$C$150,IF(M98=$B$151,N98*$C$151/$C$150,IF(M98=$B$149,N98/$C$150))))</f>
        <v>10000000</v>
      </c>
      <c r="P98" s="298">
        <v>10000000</v>
      </c>
      <c r="Q98" s="299" t="s">
        <v>333</v>
      </c>
      <c r="R98" s="298">
        <v>2553676.86</v>
      </c>
      <c r="S98" s="298">
        <f>3533579.15874841+18816925/512.41+16022937.4/426.85+37537.63+37130+36723+37538+'[2]15,08,20 գործող'!$I$55+'[2]15,08,20 գործող'!$I$56</f>
        <v>3831843.4704706864</v>
      </c>
      <c r="T98" s="300">
        <f t="shared" si="17"/>
        <v>7446323.1400000006</v>
      </c>
      <c r="U98" s="298">
        <f>IF(M98=$B$150,T98,IF(M98=$B$152,T98*$C$152/$C$150,IF(M98=$B$151,T98*$C$151/$C$150,IF(M98=$B$149,T98/$C$150))))</f>
        <v>7446323.1400000006</v>
      </c>
      <c r="V98" s="301" t="s">
        <v>303</v>
      </c>
      <c r="W98" s="302" t="s">
        <v>371</v>
      </c>
      <c r="X98" s="5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6"/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/>
      <c r="PC98" s="6"/>
      <c r="PD98" s="6"/>
      <c r="PE98" s="6"/>
      <c r="PF98" s="6"/>
      <c r="PG98" s="6"/>
      <c r="PH98" s="6"/>
      <c r="PI98" s="6"/>
      <c r="PJ98" s="6"/>
      <c r="PK98" s="6"/>
      <c r="PL98" s="6"/>
      <c r="PM98" s="6"/>
      <c r="PN98" s="6"/>
      <c r="PO98" s="6"/>
      <c r="PP98" s="6"/>
      <c r="PQ98" s="6"/>
      <c r="PR98" s="6"/>
      <c r="PS98" s="6"/>
      <c r="PT98" s="6"/>
      <c r="PU98" s="6"/>
      <c r="PV98" s="6"/>
      <c r="PW98" s="6"/>
      <c r="PX98" s="6"/>
      <c r="PY98" s="6"/>
      <c r="PZ98" s="6"/>
      <c r="QA98" s="6"/>
      <c r="QB98" s="6"/>
      <c r="QC98" s="6"/>
      <c r="QD98" s="6"/>
      <c r="QE98" s="6"/>
      <c r="QF98" s="6"/>
      <c r="QG98" s="6"/>
      <c r="QH98" s="6"/>
      <c r="QI98" s="6"/>
      <c r="QJ98" s="6"/>
      <c r="QK98" s="6"/>
      <c r="QL98" s="6"/>
      <c r="QM98" s="6"/>
      <c r="QN98" s="6"/>
      <c r="QO98" s="6"/>
      <c r="QP98" s="6"/>
      <c r="QQ98" s="6"/>
      <c r="QR98" s="6"/>
      <c r="QS98" s="6"/>
      <c r="QT98" s="6"/>
      <c r="QU98" s="6"/>
      <c r="QV98" s="6"/>
      <c r="QW98" s="6"/>
      <c r="QX98" s="6"/>
      <c r="QY98" s="6"/>
      <c r="QZ98" s="6"/>
      <c r="RA98" s="6"/>
      <c r="RB98" s="6"/>
      <c r="RC98" s="6"/>
      <c r="RD98" s="6"/>
      <c r="RE98" s="6"/>
      <c r="RF98" s="6"/>
      <c r="RG98" s="6"/>
      <c r="RH98" s="6"/>
      <c r="RI98" s="6"/>
      <c r="RJ98" s="6"/>
      <c r="RK98" s="6"/>
      <c r="RL98" s="6"/>
      <c r="RM98" s="6"/>
      <c r="RN98" s="6"/>
      <c r="RO98" s="6"/>
      <c r="RP98" s="6"/>
      <c r="RQ98" s="6"/>
      <c r="RR98" s="6"/>
      <c r="RS98" s="6"/>
      <c r="RT98" s="6"/>
      <c r="RU98" s="6"/>
      <c r="RV98" s="6"/>
      <c r="RW98" s="6"/>
      <c r="RX98" s="6"/>
      <c r="RY98" s="6"/>
      <c r="RZ98" s="6"/>
      <c r="SA98" s="6"/>
      <c r="SB98" s="6"/>
      <c r="SC98" s="6"/>
      <c r="SD98" s="6"/>
      <c r="SE98" s="6"/>
      <c r="SF98" s="6"/>
      <c r="SG98" s="6"/>
      <c r="SH98" s="6"/>
      <c r="SI98" s="6"/>
      <c r="SJ98" s="6"/>
      <c r="SK98" s="6"/>
      <c r="SL98" s="6"/>
      <c r="SM98" s="6"/>
      <c r="SN98" s="6"/>
      <c r="SO98" s="6"/>
      <c r="SP98" s="6"/>
      <c r="SQ98" s="6"/>
      <c r="SR98" s="6"/>
      <c r="SS98" s="6"/>
      <c r="ST98" s="6"/>
      <c r="SU98" s="6"/>
      <c r="SV98" s="6"/>
      <c r="SW98" s="6"/>
      <c r="SX98" s="6"/>
      <c r="SY98" s="6"/>
      <c r="SZ98" s="6"/>
      <c r="TA98" s="6"/>
      <c r="TB98" s="6"/>
      <c r="TC98" s="6"/>
      <c r="TD98" s="6"/>
      <c r="TE98" s="6"/>
      <c r="TF98" s="6"/>
      <c r="TG98" s="6"/>
      <c r="TH98" s="6"/>
      <c r="TI98" s="6"/>
      <c r="TJ98" s="6"/>
      <c r="TK98" s="6"/>
      <c r="TL98" s="6"/>
      <c r="TM98" s="6"/>
      <c r="TN98" s="6"/>
      <c r="TO98" s="6"/>
      <c r="TP98" s="6"/>
      <c r="TQ98" s="6"/>
      <c r="TR98" s="6"/>
      <c r="TS98" s="6"/>
      <c r="TT98" s="6"/>
      <c r="TU98" s="6"/>
      <c r="TV98" s="6"/>
      <c r="TW98" s="6"/>
      <c r="TX98" s="6"/>
      <c r="TY98" s="6"/>
      <c r="TZ98" s="6"/>
      <c r="UA98" s="6"/>
      <c r="UB98" s="6"/>
      <c r="UC98" s="6"/>
      <c r="UD98" s="6"/>
      <c r="UE98" s="6"/>
      <c r="UF98" s="6"/>
      <c r="UG98" s="6"/>
      <c r="UH98" s="6"/>
      <c r="UI98" s="6"/>
      <c r="UJ98" s="6"/>
      <c r="UK98" s="6"/>
      <c r="UL98" s="6"/>
      <c r="UM98" s="6"/>
      <c r="UN98" s="6"/>
      <c r="UO98" s="6"/>
      <c r="UP98" s="6"/>
      <c r="UQ98" s="6"/>
      <c r="UR98" s="6"/>
      <c r="US98" s="6"/>
      <c r="UT98" s="6"/>
      <c r="UU98" s="6"/>
      <c r="UV98" s="6"/>
      <c r="UW98" s="6"/>
      <c r="UX98" s="6"/>
      <c r="UY98" s="6"/>
      <c r="UZ98" s="6"/>
      <c r="VA98" s="6"/>
      <c r="VB98" s="6"/>
      <c r="VC98" s="6"/>
      <c r="VD98" s="6"/>
      <c r="VE98" s="6"/>
      <c r="VF98" s="6"/>
      <c r="VG98" s="6"/>
      <c r="VH98" s="6"/>
      <c r="VI98" s="6"/>
      <c r="VJ98" s="6"/>
      <c r="VK98" s="6"/>
      <c r="VL98" s="6"/>
      <c r="VM98" s="6"/>
      <c r="VN98" s="6"/>
      <c r="VO98" s="6"/>
      <c r="VP98" s="6"/>
      <c r="VQ98" s="6"/>
      <c r="VR98" s="6"/>
      <c r="VS98" s="6"/>
      <c r="VT98" s="6"/>
      <c r="VU98" s="6"/>
      <c r="VV98" s="6"/>
      <c r="VW98" s="6"/>
      <c r="VX98" s="6"/>
      <c r="VY98" s="6"/>
      <c r="VZ98" s="6"/>
      <c r="WA98" s="6"/>
      <c r="WB98" s="6"/>
      <c r="WC98" s="6"/>
      <c r="WD98" s="6"/>
      <c r="WE98" s="6"/>
      <c r="WF98" s="6"/>
      <c r="WG98" s="6"/>
      <c r="WH98" s="6"/>
      <c r="WI98" s="6"/>
      <c r="WJ98" s="6"/>
      <c r="WK98" s="6"/>
      <c r="WL98" s="6"/>
      <c r="WM98" s="6"/>
      <c r="WN98" s="6"/>
      <c r="WO98" s="6"/>
      <c r="WP98" s="6"/>
      <c r="WQ98" s="6"/>
      <c r="WR98" s="6"/>
      <c r="WS98" s="6"/>
      <c r="WT98" s="6"/>
      <c r="WU98" s="6"/>
      <c r="WV98" s="6"/>
      <c r="WW98" s="6"/>
      <c r="WX98" s="6"/>
      <c r="WY98" s="6"/>
      <c r="WZ98" s="6"/>
      <c r="XA98" s="6"/>
      <c r="XB98" s="6"/>
      <c r="XC98" s="6"/>
      <c r="XD98" s="6"/>
      <c r="XE98" s="6"/>
      <c r="XF98" s="6"/>
      <c r="XG98" s="6"/>
      <c r="XH98" s="6"/>
      <c r="XI98" s="6"/>
      <c r="XJ98" s="6"/>
      <c r="XK98" s="6"/>
      <c r="XL98" s="6"/>
      <c r="XM98" s="6"/>
      <c r="XN98" s="6"/>
      <c r="XO98" s="6"/>
      <c r="XP98" s="6"/>
      <c r="XQ98" s="6"/>
      <c r="XR98" s="6"/>
      <c r="XS98" s="6"/>
      <c r="XT98" s="6"/>
      <c r="XU98" s="6"/>
      <c r="XV98" s="6"/>
      <c r="XW98" s="6"/>
      <c r="XX98" s="6"/>
      <c r="XY98" s="6"/>
      <c r="XZ98" s="6"/>
      <c r="YA98" s="6"/>
      <c r="YB98" s="6"/>
      <c r="YC98" s="6"/>
      <c r="YD98" s="6"/>
      <c r="YE98" s="6"/>
      <c r="YF98" s="6"/>
      <c r="YG98" s="6"/>
      <c r="YH98" s="6"/>
      <c r="YI98" s="6"/>
      <c r="YJ98" s="6"/>
      <c r="YK98" s="6"/>
      <c r="YL98" s="6"/>
      <c r="YM98" s="6"/>
      <c r="YN98" s="6"/>
      <c r="YO98" s="6"/>
      <c r="YP98" s="6"/>
      <c r="YQ98" s="6"/>
      <c r="YR98" s="6"/>
      <c r="YS98" s="6"/>
      <c r="YT98" s="6"/>
      <c r="YU98" s="6"/>
      <c r="YV98" s="6"/>
      <c r="YW98" s="6"/>
      <c r="YX98" s="6"/>
      <c r="YY98" s="6"/>
      <c r="YZ98" s="6"/>
      <c r="ZA98" s="6"/>
      <c r="ZB98" s="6"/>
      <c r="ZC98" s="6"/>
      <c r="ZD98" s="6"/>
      <c r="ZE98" s="6"/>
      <c r="ZF98" s="6"/>
      <c r="ZG98" s="6"/>
      <c r="ZH98" s="6"/>
      <c r="ZI98" s="6"/>
      <c r="ZJ98" s="6"/>
      <c r="ZK98" s="6"/>
      <c r="ZL98" s="6"/>
      <c r="ZM98" s="6"/>
      <c r="ZN98" s="6"/>
      <c r="ZO98" s="6"/>
      <c r="ZP98" s="6"/>
      <c r="ZQ98" s="6"/>
      <c r="ZR98" s="6"/>
      <c r="ZS98" s="6"/>
      <c r="ZT98" s="6"/>
      <c r="ZU98" s="6"/>
      <c r="ZV98" s="6"/>
      <c r="ZW98" s="6"/>
      <c r="ZX98" s="6"/>
      <c r="ZY98" s="6"/>
      <c r="ZZ98" s="6"/>
      <c r="AAA98" s="6"/>
      <c r="AAB98" s="6"/>
      <c r="AAC98" s="6"/>
      <c r="AAD98" s="6"/>
      <c r="AAE98" s="6"/>
      <c r="AAF98" s="6"/>
      <c r="AAG98" s="6"/>
      <c r="AAH98" s="6"/>
      <c r="AAI98" s="6"/>
      <c r="AAJ98" s="6"/>
      <c r="AAK98" s="6"/>
      <c r="AAL98" s="6"/>
      <c r="AAM98" s="6"/>
      <c r="AAN98" s="6"/>
      <c r="AAO98" s="6"/>
      <c r="AAP98" s="6"/>
      <c r="AAQ98" s="6"/>
      <c r="AAR98" s="6"/>
      <c r="AAS98" s="6"/>
      <c r="AAT98" s="6"/>
      <c r="AAU98" s="6"/>
      <c r="AAV98" s="6"/>
      <c r="AAW98" s="6"/>
      <c r="AAX98" s="6"/>
      <c r="AAY98" s="6"/>
      <c r="AAZ98" s="6"/>
      <c r="ABA98" s="6"/>
      <c r="ABB98" s="6"/>
      <c r="ABC98" s="6"/>
      <c r="ABD98" s="6"/>
      <c r="ABE98" s="6"/>
      <c r="ABF98" s="6"/>
      <c r="ABG98" s="6"/>
      <c r="ABH98" s="6"/>
      <c r="ABI98" s="6"/>
      <c r="ABJ98" s="6"/>
      <c r="ABK98" s="6"/>
      <c r="ABL98" s="6"/>
      <c r="ABM98" s="6"/>
      <c r="ABN98" s="6"/>
      <c r="ABO98" s="6"/>
      <c r="ABP98" s="6"/>
      <c r="ABQ98" s="6"/>
      <c r="ABR98" s="6"/>
      <c r="ABS98" s="6"/>
      <c r="ABT98" s="6"/>
      <c r="ABU98" s="6"/>
      <c r="ABV98" s="6"/>
      <c r="ABW98" s="6"/>
      <c r="ABX98" s="6"/>
      <c r="ABY98" s="6"/>
      <c r="ABZ98" s="6"/>
      <c r="ACA98" s="6"/>
      <c r="ACB98" s="6"/>
      <c r="ACC98" s="6"/>
      <c r="ACD98" s="6"/>
      <c r="ACE98" s="6"/>
      <c r="ACF98" s="6"/>
      <c r="ACG98" s="6"/>
      <c r="ACH98" s="6"/>
      <c r="ACI98" s="6"/>
      <c r="ACJ98" s="6"/>
      <c r="ACK98" s="6"/>
      <c r="ACL98" s="6"/>
      <c r="ACM98" s="6"/>
      <c r="ACN98" s="6"/>
      <c r="ACO98" s="6"/>
      <c r="ACP98" s="6"/>
      <c r="ACQ98" s="6"/>
      <c r="ACR98" s="6"/>
      <c r="ACS98" s="6"/>
      <c r="ACT98" s="6"/>
      <c r="ACU98" s="6"/>
      <c r="ACV98" s="6"/>
      <c r="ACW98" s="6"/>
      <c r="ACX98" s="6"/>
      <c r="ACY98" s="6"/>
      <c r="ACZ98" s="6"/>
      <c r="ADA98" s="6"/>
      <c r="ADB98" s="6"/>
      <c r="ADC98" s="6"/>
      <c r="ADD98" s="6"/>
      <c r="ADE98" s="6"/>
      <c r="ADF98" s="6"/>
      <c r="ADG98" s="6"/>
      <c r="ADH98" s="6"/>
      <c r="ADI98" s="6"/>
      <c r="ADJ98" s="6"/>
      <c r="ADK98" s="6"/>
      <c r="ADL98" s="6"/>
      <c r="ADM98" s="6"/>
      <c r="ADN98" s="6"/>
      <c r="ADO98" s="6"/>
      <c r="ADP98" s="6"/>
      <c r="ADQ98" s="6"/>
      <c r="ADR98" s="6"/>
      <c r="ADS98" s="6"/>
      <c r="ADT98" s="6"/>
      <c r="ADU98" s="6"/>
      <c r="ADV98" s="6"/>
      <c r="ADW98" s="6"/>
      <c r="ADX98" s="6"/>
      <c r="ADY98" s="6"/>
      <c r="ADZ98" s="6"/>
      <c r="AEA98" s="6"/>
      <c r="AEB98" s="6"/>
      <c r="AEC98" s="6"/>
      <c r="AED98" s="6"/>
      <c r="AEE98" s="6"/>
      <c r="AEF98" s="6"/>
      <c r="AEG98" s="6"/>
      <c r="AEH98" s="6"/>
      <c r="AEI98" s="6"/>
      <c r="AEJ98" s="6"/>
      <c r="AEK98" s="6"/>
      <c r="AEL98" s="6"/>
      <c r="AEM98" s="6"/>
      <c r="AEN98" s="6"/>
      <c r="AEO98" s="6"/>
      <c r="AEP98" s="6"/>
      <c r="AEQ98" s="6"/>
      <c r="AER98" s="6"/>
      <c r="AES98" s="6"/>
      <c r="AET98" s="6"/>
      <c r="AEU98" s="6"/>
      <c r="AEV98" s="6"/>
      <c r="AEW98" s="6"/>
      <c r="AEX98" s="6"/>
      <c r="AEY98" s="6"/>
      <c r="AEZ98" s="6"/>
      <c r="AFA98" s="6"/>
      <c r="AFB98" s="6"/>
      <c r="AFC98" s="6"/>
      <c r="AFD98" s="6"/>
      <c r="AFE98" s="6"/>
      <c r="AFF98" s="6"/>
      <c r="AFG98" s="6"/>
      <c r="AFH98" s="6"/>
      <c r="AFI98" s="6"/>
      <c r="AFJ98" s="6"/>
      <c r="AFK98" s="6"/>
      <c r="AFL98" s="6"/>
      <c r="AFM98" s="6"/>
      <c r="AFN98" s="6"/>
      <c r="AFO98" s="6"/>
      <c r="AFP98" s="6"/>
      <c r="AFQ98" s="6"/>
      <c r="AFR98" s="6"/>
      <c r="AFS98" s="6"/>
      <c r="AFT98" s="6"/>
      <c r="AFU98" s="6"/>
      <c r="AFV98" s="6"/>
      <c r="AFW98" s="6"/>
      <c r="AFX98" s="6"/>
      <c r="AFY98" s="6"/>
      <c r="AFZ98" s="6"/>
      <c r="AGA98" s="6"/>
      <c r="AGB98" s="6"/>
      <c r="AGC98" s="6"/>
      <c r="AGD98" s="6"/>
      <c r="AGE98" s="6"/>
      <c r="AGF98" s="6"/>
      <c r="AGG98" s="6"/>
      <c r="AGH98" s="6"/>
      <c r="AGI98" s="6"/>
      <c r="AGJ98" s="6"/>
      <c r="AGK98" s="6"/>
      <c r="AGL98" s="6"/>
      <c r="AGM98" s="6"/>
      <c r="AGN98" s="6"/>
      <c r="AGO98" s="6"/>
      <c r="AGP98" s="6"/>
      <c r="AGQ98" s="6"/>
      <c r="AGR98" s="6"/>
      <c r="AGS98" s="6"/>
      <c r="AGT98" s="6"/>
      <c r="AGU98" s="6"/>
      <c r="AGV98" s="6"/>
      <c r="AGW98" s="6"/>
      <c r="AGX98" s="6"/>
      <c r="AGY98" s="6"/>
      <c r="AGZ98" s="6"/>
      <c r="AHA98" s="6"/>
      <c r="AHB98" s="6"/>
      <c r="AHC98" s="6"/>
      <c r="AHD98" s="6"/>
      <c r="AHE98" s="6"/>
      <c r="AHF98" s="6"/>
      <c r="AHG98" s="6"/>
      <c r="AHH98" s="6"/>
      <c r="AHI98" s="6"/>
      <c r="AHJ98" s="6"/>
      <c r="AHK98" s="6"/>
      <c r="AHL98" s="6"/>
      <c r="AHM98" s="6"/>
      <c r="AHN98" s="6"/>
      <c r="AHO98" s="6"/>
      <c r="AHP98" s="6"/>
      <c r="AHQ98" s="6"/>
      <c r="AHR98" s="6"/>
      <c r="AHS98" s="6"/>
      <c r="AHT98" s="6"/>
      <c r="AHU98" s="6"/>
      <c r="AHV98" s="6"/>
      <c r="AHW98" s="6"/>
      <c r="AHX98" s="6"/>
      <c r="AHY98" s="6"/>
      <c r="AHZ98" s="6"/>
      <c r="AIA98" s="6"/>
      <c r="AIB98" s="6"/>
      <c r="AIC98" s="6"/>
      <c r="AID98" s="6"/>
      <c r="AIE98" s="6"/>
      <c r="AIF98" s="6"/>
      <c r="AIG98" s="6"/>
      <c r="AIH98" s="6"/>
      <c r="AII98" s="6"/>
      <c r="AIJ98" s="6"/>
      <c r="AIK98" s="6"/>
      <c r="AIL98" s="6"/>
      <c r="AIM98" s="6"/>
      <c r="AIN98" s="6"/>
      <c r="AIO98" s="6"/>
      <c r="AIP98" s="6"/>
      <c r="AIQ98" s="6"/>
      <c r="AIR98" s="6"/>
      <c r="AIS98" s="6"/>
      <c r="AIT98" s="6"/>
      <c r="AIU98" s="6"/>
      <c r="AIV98" s="6"/>
      <c r="AIW98" s="6"/>
      <c r="AIX98" s="6"/>
      <c r="AIY98" s="6"/>
      <c r="AIZ98" s="6"/>
      <c r="AJA98" s="6"/>
      <c r="AJB98" s="6"/>
      <c r="AJC98" s="6"/>
    </row>
    <row r="99" spans="1:939" s="248" customFormat="1" ht="51" customHeight="1" outlineLevel="1" thickBot="1" x14ac:dyDescent="0.3">
      <c r="A99" s="240">
        <v>64</v>
      </c>
      <c r="B99" s="241" t="s">
        <v>149</v>
      </c>
      <c r="C99" s="241" t="s">
        <v>101</v>
      </c>
      <c r="D99" s="241" t="s">
        <v>146</v>
      </c>
      <c r="E99" s="241"/>
      <c r="F99" s="241"/>
      <c r="G99" s="241"/>
      <c r="H99" s="241"/>
      <c r="I99" s="241"/>
      <c r="J99" s="241"/>
      <c r="K99" s="242" t="s">
        <v>209</v>
      </c>
      <c r="L99" s="241" t="s">
        <v>302</v>
      </c>
      <c r="M99" s="241" t="s">
        <v>51</v>
      </c>
      <c r="N99" s="243">
        <v>8000000000</v>
      </c>
      <c r="O99" s="243">
        <f>IF(M99=$B$150,N99,IF(M99=$B$152,N99*$C$152/$C$150,IF(M99=$B$151,N99*$C$151/$C$150,IF(M99=$B$149,N99/$C$150))))</f>
        <v>19763334.074458361</v>
      </c>
      <c r="P99" s="243">
        <v>8000000000</v>
      </c>
      <c r="Q99" s="244" t="s">
        <v>332</v>
      </c>
      <c r="R99" s="243"/>
      <c r="S99" s="243">
        <f>3496438357+79342466+80657534+79342466+79342466+1315069</f>
        <v>3816438358</v>
      </c>
      <c r="T99" s="245">
        <f>P99-R99</f>
        <v>8000000000</v>
      </c>
      <c r="U99" s="243">
        <f>IF(M99=$B$150,T99,IF(M99=$B$152,T99*$C$152/$C$150,IF(M99=$B$151,T99*$C$151/$C$150,IF(M99=$B$149,T99/$C$150))))</f>
        <v>19763334.074458361</v>
      </c>
      <c r="V99" s="246" t="s">
        <v>301</v>
      </c>
      <c r="W99" s="247" t="s">
        <v>370</v>
      </c>
      <c r="X99" s="5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6"/>
      <c r="GF99" s="6"/>
      <c r="GG99" s="6"/>
      <c r="GH99" s="6"/>
      <c r="GI99" s="6"/>
      <c r="GJ99" s="6"/>
      <c r="GK99" s="6"/>
      <c r="GL99" s="6"/>
      <c r="GM99" s="6"/>
      <c r="GN99" s="6"/>
      <c r="GO99" s="6"/>
      <c r="GP99" s="6"/>
      <c r="GQ99" s="6"/>
      <c r="GR99" s="6"/>
      <c r="GS99" s="6"/>
      <c r="GT99" s="6"/>
      <c r="GU99" s="6"/>
      <c r="GV99" s="6"/>
      <c r="GW99" s="6"/>
      <c r="GX99" s="6"/>
      <c r="GY99" s="6"/>
      <c r="GZ99" s="6"/>
      <c r="HA99" s="6"/>
      <c r="HB99" s="6"/>
      <c r="HC99" s="6"/>
      <c r="HD99" s="6"/>
      <c r="HE99" s="6"/>
      <c r="HF99" s="6"/>
      <c r="HG99" s="6"/>
      <c r="HH99" s="6"/>
      <c r="HI99" s="6"/>
      <c r="HJ99" s="6"/>
      <c r="HK99" s="6"/>
      <c r="HL99" s="6"/>
      <c r="HM99" s="6"/>
      <c r="HN99" s="6"/>
      <c r="HO99" s="6"/>
      <c r="HP99" s="6"/>
      <c r="HQ99" s="6"/>
      <c r="HR99" s="6"/>
      <c r="HS99" s="6"/>
      <c r="HT99" s="6"/>
      <c r="HU99" s="6"/>
      <c r="HV99" s="6"/>
      <c r="HW99" s="6"/>
      <c r="HX99" s="6"/>
      <c r="HY99" s="6"/>
      <c r="HZ99" s="6"/>
      <c r="IA99" s="6"/>
      <c r="IB99" s="6"/>
      <c r="IC99" s="6"/>
      <c r="ID99" s="6"/>
      <c r="IE99" s="6"/>
      <c r="IF99" s="6"/>
      <c r="IG99" s="6"/>
      <c r="IH99" s="6"/>
      <c r="II99" s="6"/>
      <c r="IJ99" s="6"/>
      <c r="IK99" s="6"/>
      <c r="IL99" s="6"/>
      <c r="IM99" s="6"/>
      <c r="IN99" s="6"/>
      <c r="IO99" s="6"/>
      <c r="IP99" s="6"/>
      <c r="IQ99" s="6"/>
      <c r="IR99" s="6"/>
      <c r="IS99" s="6"/>
      <c r="IT99" s="6"/>
      <c r="IU99" s="6"/>
      <c r="IV99" s="6"/>
      <c r="IW99" s="6"/>
      <c r="IX99" s="6"/>
      <c r="IY99" s="6"/>
      <c r="IZ99" s="6"/>
      <c r="JA99" s="6"/>
      <c r="JB99" s="6"/>
      <c r="JC99" s="6"/>
      <c r="JD99" s="6"/>
      <c r="JE99" s="6"/>
      <c r="JF99" s="6"/>
      <c r="JG99" s="6"/>
      <c r="JH99" s="6"/>
      <c r="JI99" s="6"/>
      <c r="JJ99" s="6"/>
      <c r="JK99" s="6"/>
      <c r="JL99" s="6"/>
      <c r="JM99" s="6"/>
      <c r="JN99" s="6"/>
      <c r="JO99" s="6"/>
      <c r="JP99" s="6"/>
      <c r="JQ99" s="6"/>
      <c r="JR99" s="6"/>
      <c r="JS99" s="6"/>
      <c r="JT99" s="6"/>
      <c r="JU99" s="6"/>
      <c r="JV99" s="6"/>
      <c r="JW99" s="6"/>
      <c r="JX99" s="6"/>
      <c r="JY99" s="6"/>
      <c r="JZ99" s="6"/>
      <c r="KA99" s="6"/>
      <c r="KB99" s="6"/>
      <c r="KC99" s="6"/>
      <c r="KD99" s="6"/>
      <c r="KE99" s="6"/>
      <c r="KF99" s="6"/>
      <c r="KG99" s="6"/>
      <c r="KH99" s="6"/>
      <c r="KI99" s="6"/>
      <c r="KJ99" s="6"/>
      <c r="KK99" s="6"/>
      <c r="KL99" s="6"/>
      <c r="KM99" s="6"/>
      <c r="KN99" s="6"/>
      <c r="KO99" s="6"/>
      <c r="KP99" s="6"/>
      <c r="KQ99" s="6"/>
      <c r="KR99" s="6"/>
      <c r="KS99" s="6"/>
      <c r="KT99" s="6"/>
      <c r="KU99" s="6"/>
      <c r="KV99" s="6"/>
      <c r="KW99" s="6"/>
      <c r="KX99" s="6"/>
      <c r="KY99" s="6"/>
      <c r="KZ99" s="6"/>
      <c r="LA99" s="6"/>
      <c r="LB99" s="6"/>
      <c r="LC99" s="6"/>
      <c r="LD99" s="6"/>
      <c r="LE99" s="6"/>
      <c r="LF99" s="6"/>
      <c r="LG99" s="6"/>
      <c r="LH99" s="6"/>
      <c r="LI99" s="6"/>
      <c r="LJ99" s="6"/>
      <c r="LK99" s="6"/>
      <c r="LL99" s="6"/>
      <c r="LM99" s="6"/>
      <c r="LN99" s="6"/>
      <c r="LO99" s="6"/>
      <c r="LP99" s="6"/>
      <c r="LQ99" s="6"/>
      <c r="LR99" s="6"/>
      <c r="LS99" s="6"/>
      <c r="LT99" s="6"/>
      <c r="LU99" s="6"/>
      <c r="LV99" s="6"/>
      <c r="LW99" s="6"/>
      <c r="LX99" s="6"/>
      <c r="LY99" s="6"/>
      <c r="LZ99" s="6"/>
      <c r="MA99" s="6"/>
      <c r="MB99" s="6"/>
      <c r="MC99" s="6"/>
      <c r="MD99" s="6"/>
      <c r="ME99" s="6"/>
      <c r="MF99" s="6"/>
      <c r="MG99" s="6"/>
      <c r="MH99" s="6"/>
      <c r="MI99" s="6"/>
      <c r="MJ99" s="6"/>
      <c r="MK99" s="6"/>
      <c r="ML99" s="6"/>
      <c r="MM99" s="6"/>
      <c r="MN99" s="6"/>
      <c r="MO99" s="6"/>
      <c r="MP99" s="6"/>
      <c r="MQ99" s="6"/>
      <c r="MR99" s="6"/>
      <c r="MS99" s="6"/>
      <c r="MT99" s="6"/>
      <c r="MU99" s="6"/>
      <c r="MV99" s="6"/>
      <c r="MW99" s="6"/>
      <c r="MX99" s="6"/>
      <c r="MY99" s="6"/>
      <c r="MZ99" s="6"/>
      <c r="NA99" s="6"/>
      <c r="NB99" s="6"/>
      <c r="NC99" s="6"/>
      <c r="ND99" s="6"/>
      <c r="NE99" s="6"/>
      <c r="NF99" s="6"/>
      <c r="NG99" s="6"/>
      <c r="NH99" s="6"/>
      <c r="NI99" s="6"/>
      <c r="NJ99" s="6"/>
      <c r="NK99" s="6"/>
      <c r="NL99" s="6"/>
      <c r="NM99" s="6"/>
      <c r="NN99" s="6"/>
      <c r="NO99" s="6"/>
      <c r="NP99" s="6"/>
      <c r="NQ99" s="6"/>
      <c r="NR99" s="6"/>
      <c r="NS99" s="6"/>
      <c r="NT99" s="6"/>
      <c r="NU99" s="6"/>
      <c r="NV99" s="6"/>
      <c r="NW99" s="6"/>
      <c r="NX99" s="6"/>
      <c r="NY99" s="6"/>
      <c r="NZ99" s="6"/>
      <c r="OA99" s="6"/>
      <c r="OB99" s="6"/>
      <c r="OC99" s="6"/>
      <c r="OD99" s="6"/>
      <c r="OE99" s="6"/>
      <c r="OF99" s="6"/>
      <c r="OG99" s="6"/>
      <c r="OH99" s="6"/>
      <c r="OI99" s="6"/>
      <c r="OJ99" s="6"/>
      <c r="OK99" s="6"/>
      <c r="OL99" s="6"/>
      <c r="OM99" s="6"/>
      <c r="ON99" s="6"/>
      <c r="OO99" s="6"/>
      <c r="OP99" s="6"/>
      <c r="OQ99" s="6"/>
      <c r="OR99" s="6"/>
      <c r="OS99" s="6"/>
      <c r="OT99" s="6"/>
      <c r="OU99" s="6"/>
      <c r="OV99" s="6"/>
      <c r="OW99" s="6"/>
      <c r="OX99" s="6"/>
      <c r="OY99" s="6"/>
      <c r="OZ99" s="6"/>
      <c r="PA99" s="6"/>
      <c r="PB99" s="6"/>
      <c r="PC99" s="6"/>
      <c r="PD99" s="6"/>
      <c r="PE99" s="6"/>
      <c r="PF99" s="6"/>
      <c r="PG99" s="6"/>
      <c r="PH99" s="6"/>
      <c r="PI99" s="6"/>
      <c r="PJ99" s="6"/>
      <c r="PK99" s="6"/>
      <c r="PL99" s="6"/>
      <c r="PM99" s="6"/>
      <c r="PN99" s="6"/>
      <c r="PO99" s="6"/>
      <c r="PP99" s="6"/>
      <c r="PQ99" s="6"/>
      <c r="PR99" s="6"/>
      <c r="PS99" s="6"/>
      <c r="PT99" s="6"/>
      <c r="PU99" s="6"/>
      <c r="PV99" s="6"/>
      <c r="PW99" s="6"/>
      <c r="PX99" s="6"/>
      <c r="PY99" s="6"/>
      <c r="PZ99" s="6"/>
      <c r="QA99" s="6"/>
      <c r="QB99" s="6"/>
      <c r="QC99" s="6"/>
      <c r="QD99" s="6"/>
      <c r="QE99" s="6"/>
      <c r="QF99" s="6"/>
      <c r="QG99" s="6"/>
      <c r="QH99" s="6"/>
      <c r="QI99" s="6"/>
      <c r="QJ99" s="6"/>
      <c r="QK99" s="6"/>
      <c r="QL99" s="6"/>
      <c r="QM99" s="6"/>
      <c r="QN99" s="6"/>
      <c r="QO99" s="6"/>
      <c r="QP99" s="6"/>
      <c r="QQ99" s="6"/>
      <c r="QR99" s="6"/>
      <c r="QS99" s="6"/>
      <c r="QT99" s="6"/>
      <c r="QU99" s="6"/>
      <c r="QV99" s="6"/>
      <c r="QW99" s="6"/>
      <c r="QX99" s="6"/>
      <c r="QY99" s="6"/>
      <c r="QZ99" s="6"/>
      <c r="RA99" s="6"/>
      <c r="RB99" s="6"/>
      <c r="RC99" s="6"/>
      <c r="RD99" s="6"/>
      <c r="RE99" s="6"/>
      <c r="RF99" s="6"/>
      <c r="RG99" s="6"/>
      <c r="RH99" s="6"/>
      <c r="RI99" s="6"/>
      <c r="RJ99" s="6"/>
      <c r="RK99" s="6"/>
      <c r="RL99" s="6"/>
      <c r="RM99" s="6"/>
      <c r="RN99" s="6"/>
      <c r="RO99" s="6"/>
      <c r="RP99" s="6"/>
      <c r="RQ99" s="6"/>
      <c r="RR99" s="6"/>
      <c r="RS99" s="6"/>
      <c r="RT99" s="6"/>
      <c r="RU99" s="6"/>
      <c r="RV99" s="6"/>
      <c r="RW99" s="6"/>
      <c r="RX99" s="6"/>
      <c r="RY99" s="6"/>
      <c r="RZ99" s="6"/>
      <c r="SA99" s="6"/>
      <c r="SB99" s="6"/>
      <c r="SC99" s="6"/>
      <c r="SD99" s="6"/>
      <c r="SE99" s="6"/>
      <c r="SF99" s="6"/>
      <c r="SG99" s="6"/>
      <c r="SH99" s="6"/>
      <c r="SI99" s="6"/>
      <c r="SJ99" s="6"/>
      <c r="SK99" s="6"/>
      <c r="SL99" s="6"/>
      <c r="SM99" s="6"/>
      <c r="SN99" s="6"/>
      <c r="SO99" s="6"/>
      <c r="SP99" s="6"/>
      <c r="SQ99" s="6"/>
      <c r="SR99" s="6"/>
      <c r="SS99" s="6"/>
      <c r="ST99" s="6"/>
      <c r="SU99" s="6"/>
      <c r="SV99" s="6"/>
      <c r="SW99" s="6"/>
      <c r="SX99" s="6"/>
      <c r="SY99" s="6"/>
      <c r="SZ99" s="6"/>
      <c r="TA99" s="6"/>
      <c r="TB99" s="6"/>
      <c r="TC99" s="6"/>
      <c r="TD99" s="6"/>
      <c r="TE99" s="6"/>
      <c r="TF99" s="6"/>
      <c r="TG99" s="6"/>
      <c r="TH99" s="6"/>
      <c r="TI99" s="6"/>
      <c r="TJ99" s="6"/>
      <c r="TK99" s="6"/>
      <c r="TL99" s="6"/>
      <c r="TM99" s="6"/>
      <c r="TN99" s="6"/>
      <c r="TO99" s="6"/>
      <c r="TP99" s="6"/>
      <c r="TQ99" s="6"/>
      <c r="TR99" s="6"/>
      <c r="TS99" s="6"/>
      <c r="TT99" s="6"/>
      <c r="TU99" s="6"/>
      <c r="TV99" s="6"/>
      <c r="TW99" s="6"/>
      <c r="TX99" s="6"/>
      <c r="TY99" s="6"/>
      <c r="TZ99" s="6"/>
      <c r="UA99" s="6"/>
      <c r="UB99" s="6"/>
      <c r="UC99" s="6"/>
      <c r="UD99" s="6"/>
      <c r="UE99" s="6"/>
      <c r="UF99" s="6"/>
      <c r="UG99" s="6"/>
      <c r="UH99" s="6"/>
      <c r="UI99" s="6"/>
      <c r="UJ99" s="6"/>
      <c r="UK99" s="6"/>
      <c r="UL99" s="6"/>
      <c r="UM99" s="6"/>
      <c r="UN99" s="6"/>
      <c r="UO99" s="6"/>
      <c r="UP99" s="6"/>
      <c r="UQ99" s="6"/>
      <c r="UR99" s="6"/>
      <c r="US99" s="6"/>
      <c r="UT99" s="6"/>
      <c r="UU99" s="6"/>
      <c r="UV99" s="6"/>
      <c r="UW99" s="6"/>
      <c r="UX99" s="6"/>
      <c r="UY99" s="6"/>
      <c r="UZ99" s="6"/>
      <c r="VA99" s="6"/>
      <c r="VB99" s="6"/>
      <c r="VC99" s="6"/>
      <c r="VD99" s="6"/>
      <c r="VE99" s="6"/>
      <c r="VF99" s="6"/>
      <c r="VG99" s="6"/>
      <c r="VH99" s="6"/>
      <c r="VI99" s="6"/>
      <c r="VJ99" s="6"/>
      <c r="VK99" s="6"/>
      <c r="VL99" s="6"/>
      <c r="VM99" s="6"/>
      <c r="VN99" s="6"/>
      <c r="VO99" s="6"/>
      <c r="VP99" s="6"/>
      <c r="VQ99" s="6"/>
      <c r="VR99" s="6"/>
      <c r="VS99" s="6"/>
      <c r="VT99" s="6"/>
      <c r="VU99" s="6"/>
      <c r="VV99" s="6"/>
      <c r="VW99" s="6"/>
      <c r="VX99" s="6"/>
      <c r="VY99" s="6"/>
      <c r="VZ99" s="6"/>
      <c r="WA99" s="6"/>
      <c r="WB99" s="6"/>
      <c r="WC99" s="6"/>
      <c r="WD99" s="6"/>
      <c r="WE99" s="6"/>
      <c r="WF99" s="6"/>
      <c r="WG99" s="6"/>
      <c r="WH99" s="6"/>
      <c r="WI99" s="6"/>
      <c r="WJ99" s="6"/>
      <c r="WK99" s="6"/>
      <c r="WL99" s="6"/>
      <c r="WM99" s="6"/>
      <c r="WN99" s="6"/>
      <c r="WO99" s="6"/>
      <c r="WP99" s="6"/>
      <c r="WQ99" s="6"/>
      <c r="WR99" s="6"/>
      <c r="WS99" s="6"/>
      <c r="WT99" s="6"/>
      <c r="WU99" s="6"/>
      <c r="WV99" s="6"/>
      <c r="WW99" s="6"/>
      <c r="WX99" s="6"/>
      <c r="WY99" s="6"/>
      <c r="WZ99" s="6"/>
      <c r="XA99" s="6"/>
      <c r="XB99" s="6"/>
      <c r="XC99" s="6"/>
      <c r="XD99" s="6"/>
      <c r="XE99" s="6"/>
      <c r="XF99" s="6"/>
      <c r="XG99" s="6"/>
      <c r="XH99" s="6"/>
      <c r="XI99" s="6"/>
      <c r="XJ99" s="6"/>
      <c r="XK99" s="6"/>
      <c r="XL99" s="6"/>
      <c r="XM99" s="6"/>
      <c r="XN99" s="6"/>
      <c r="XO99" s="6"/>
      <c r="XP99" s="6"/>
      <c r="XQ99" s="6"/>
      <c r="XR99" s="6"/>
      <c r="XS99" s="6"/>
      <c r="XT99" s="6"/>
      <c r="XU99" s="6"/>
      <c r="XV99" s="6"/>
      <c r="XW99" s="6"/>
      <c r="XX99" s="6"/>
      <c r="XY99" s="6"/>
      <c r="XZ99" s="6"/>
      <c r="YA99" s="6"/>
      <c r="YB99" s="6"/>
      <c r="YC99" s="6"/>
      <c r="YD99" s="6"/>
      <c r="YE99" s="6"/>
      <c r="YF99" s="6"/>
      <c r="YG99" s="6"/>
      <c r="YH99" s="6"/>
      <c r="YI99" s="6"/>
      <c r="YJ99" s="6"/>
      <c r="YK99" s="6"/>
      <c r="YL99" s="6"/>
      <c r="YM99" s="6"/>
      <c r="YN99" s="6"/>
      <c r="YO99" s="6"/>
      <c r="YP99" s="6"/>
      <c r="YQ99" s="6"/>
      <c r="YR99" s="6"/>
      <c r="YS99" s="6"/>
      <c r="YT99" s="6"/>
      <c r="YU99" s="6"/>
      <c r="YV99" s="6"/>
      <c r="YW99" s="6"/>
      <c r="YX99" s="6"/>
      <c r="YY99" s="6"/>
      <c r="YZ99" s="6"/>
      <c r="ZA99" s="6"/>
      <c r="ZB99" s="6"/>
      <c r="ZC99" s="6"/>
      <c r="ZD99" s="6"/>
      <c r="ZE99" s="6"/>
      <c r="ZF99" s="6"/>
      <c r="ZG99" s="6"/>
      <c r="ZH99" s="6"/>
      <c r="ZI99" s="6"/>
      <c r="ZJ99" s="6"/>
      <c r="ZK99" s="6"/>
      <c r="ZL99" s="6"/>
      <c r="ZM99" s="6"/>
      <c r="ZN99" s="6"/>
      <c r="ZO99" s="6"/>
      <c r="ZP99" s="6"/>
      <c r="ZQ99" s="6"/>
      <c r="ZR99" s="6"/>
      <c r="ZS99" s="6"/>
      <c r="ZT99" s="6"/>
      <c r="ZU99" s="6"/>
      <c r="ZV99" s="6"/>
      <c r="ZW99" s="6"/>
      <c r="ZX99" s="6"/>
      <c r="ZY99" s="6"/>
      <c r="ZZ99" s="6"/>
      <c r="AAA99" s="6"/>
      <c r="AAB99" s="6"/>
      <c r="AAC99" s="6"/>
      <c r="AAD99" s="6"/>
      <c r="AAE99" s="6"/>
      <c r="AAF99" s="6"/>
      <c r="AAG99" s="6"/>
      <c r="AAH99" s="6"/>
      <c r="AAI99" s="6"/>
      <c r="AAJ99" s="6"/>
      <c r="AAK99" s="6"/>
      <c r="AAL99" s="6"/>
      <c r="AAM99" s="6"/>
      <c r="AAN99" s="6"/>
      <c r="AAO99" s="6"/>
      <c r="AAP99" s="6"/>
      <c r="AAQ99" s="6"/>
      <c r="AAR99" s="6"/>
      <c r="AAS99" s="6"/>
      <c r="AAT99" s="6"/>
      <c r="AAU99" s="6"/>
      <c r="AAV99" s="6"/>
      <c r="AAW99" s="6"/>
      <c r="AAX99" s="6"/>
      <c r="AAY99" s="6"/>
      <c r="AAZ99" s="6"/>
      <c r="ABA99" s="6"/>
      <c r="ABB99" s="6"/>
      <c r="ABC99" s="6"/>
      <c r="ABD99" s="6"/>
      <c r="ABE99" s="6"/>
      <c r="ABF99" s="6"/>
      <c r="ABG99" s="6"/>
      <c r="ABH99" s="6"/>
      <c r="ABI99" s="6"/>
      <c r="ABJ99" s="6"/>
      <c r="ABK99" s="6"/>
      <c r="ABL99" s="6"/>
      <c r="ABM99" s="6"/>
      <c r="ABN99" s="6"/>
      <c r="ABO99" s="6"/>
      <c r="ABP99" s="6"/>
      <c r="ABQ99" s="6"/>
      <c r="ABR99" s="6"/>
      <c r="ABS99" s="6"/>
      <c r="ABT99" s="6"/>
      <c r="ABU99" s="6"/>
      <c r="ABV99" s="6"/>
      <c r="ABW99" s="6"/>
      <c r="ABX99" s="6"/>
      <c r="ABY99" s="6"/>
      <c r="ABZ99" s="6"/>
      <c r="ACA99" s="6"/>
      <c r="ACB99" s="6"/>
      <c r="ACC99" s="6"/>
      <c r="ACD99" s="6"/>
      <c r="ACE99" s="6"/>
      <c r="ACF99" s="6"/>
      <c r="ACG99" s="6"/>
      <c r="ACH99" s="6"/>
      <c r="ACI99" s="6"/>
      <c r="ACJ99" s="6"/>
      <c r="ACK99" s="6"/>
      <c r="ACL99" s="6"/>
      <c r="ACM99" s="6"/>
      <c r="ACN99" s="6"/>
      <c r="ACO99" s="6"/>
      <c r="ACP99" s="6"/>
      <c r="ACQ99" s="6"/>
      <c r="ACR99" s="6"/>
      <c r="ACS99" s="6"/>
      <c r="ACT99" s="6"/>
      <c r="ACU99" s="6"/>
      <c r="ACV99" s="6"/>
      <c r="ACW99" s="6"/>
      <c r="ACX99" s="6"/>
      <c r="ACY99" s="6"/>
      <c r="ACZ99" s="6"/>
      <c r="ADA99" s="6"/>
      <c r="ADB99" s="6"/>
      <c r="ADC99" s="6"/>
      <c r="ADD99" s="6"/>
      <c r="ADE99" s="6"/>
      <c r="ADF99" s="6"/>
      <c r="ADG99" s="6"/>
      <c r="ADH99" s="6"/>
      <c r="ADI99" s="6"/>
      <c r="ADJ99" s="6"/>
      <c r="ADK99" s="6"/>
      <c r="ADL99" s="6"/>
      <c r="ADM99" s="6"/>
      <c r="ADN99" s="6"/>
      <c r="ADO99" s="6"/>
      <c r="ADP99" s="6"/>
      <c r="ADQ99" s="6"/>
      <c r="ADR99" s="6"/>
      <c r="ADS99" s="6"/>
      <c r="ADT99" s="6"/>
      <c r="ADU99" s="6"/>
      <c r="ADV99" s="6"/>
      <c r="ADW99" s="6"/>
      <c r="ADX99" s="6"/>
      <c r="ADY99" s="6"/>
      <c r="ADZ99" s="6"/>
      <c r="AEA99" s="6"/>
      <c r="AEB99" s="6"/>
      <c r="AEC99" s="6"/>
      <c r="AED99" s="6"/>
      <c r="AEE99" s="6"/>
      <c r="AEF99" s="6"/>
      <c r="AEG99" s="6"/>
      <c r="AEH99" s="6"/>
      <c r="AEI99" s="6"/>
      <c r="AEJ99" s="6"/>
      <c r="AEK99" s="6"/>
      <c r="AEL99" s="6"/>
      <c r="AEM99" s="6"/>
      <c r="AEN99" s="6"/>
      <c r="AEO99" s="6"/>
      <c r="AEP99" s="6"/>
      <c r="AEQ99" s="6"/>
      <c r="AER99" s="6"/>
      <c r="AES99" s="6"/>
      <c r="AET99" s="6"/>
      <c r="AEU99" s="6"/>
      <c r="AEV99" s="6"/>
      <c r="AEW99" s="6"/>
      <c r="AEX99" s="6"/>
      <c r="AEY99" s="6"/>
      <c r="AEZ99" s="6"/>
      <c r="AFA99" s="6"/>
      <c r="AFB99" s="6"/>
      <c r="AFC99" s="6"/>
      <c r="AFD99" s="6"/>
      <c r="AFE99" s="6"/>
      <c r="AFF99" s="6"/>
      <c r="AFG99" s="6"/>
      <c r="AFH99" s="6"/>
      <c r="AFI99" s="6"/>
      <c r="AFJ99" s="6"/>
      <c r="AFK99" s="6"/>
      <c r="AFL99" s="6"/>
      <c r="AFM99" s="6"/>
      <c r="AFN99" s="6"/>
      <c r="AFO99" s="6"/>
      <c r="AFP99" s="6"/>
      <c r="AFQ99" s="6"/>
      <c r="AFR99" s="6"/>
      <c r="AFS99" s="6"/>
      <c r="AFT99" s="6"/>
      <c r="AFU99" s="6"/>
      <c r="AFV99" s="6"/>
      <c r="AFW99" s="6"/>
      <c r="AFX99" s="6"/>
      <c r="AFY99" s="6"/>
      <c r="AFZ99" s="6"/>
      <c r="AGA99" s="6"/>
      <c r="AGB99" s="6"/>
      <c r="AGC99" s="6"/>
      <c r="AGD99" s="6"/>
      <c r="AGE99" s="6"/>
      <c r="AGF99" s="6"/>
      <c r="AGG99" s="6"/>
      <c r="AGH99" s="6"/>
      <c r="AGI99" s="6"/>
      <c r="AGJ99" s="6"/>
      <c r="AGK99" s="6"/>
      <c r="AGL99" s="6"/>
      <c r="AGM99" s="6"/>
      <c r="AGN99" s="6"/>
      <c r="AGO99" s="6"/>
      <c r="AGP99" s="6"/>
      <c r="AGQ99" s="6"/>
      <c r="AGR99" s="6"/>
      <c r="AGS99" s="6"/>
      <c r="AGT99" s="6"/>
      <c r="AGU99" s="6"/>
      <c r="AGV99" s="6"/>
      <c r="AGW99" s="6"/>
      <c r="AGX99" s="6"/>
      <c r="AGY99" s="6"/>
      <c r="AGZ99" s="6"/>
      <c r="AHA99" s="6"/>
      <c r="AHB99" s="6"/>
      <c r="AHC99" s="6"/>
      <c r="AHD99" s="6"/>
      <c r="AHE99" s="6"/>
      <c r="AHF99" s="6"/>
      <c r="AHG99" s="6"/>
      <c r="AHH99" s="6"/>
      <c r="AHI99" s="6"/>
      <c r="AHJ99" s="6"/>
      <c r="AHK99" s="6"/>
      <c r="AHL99" s="6"/>
      <c r="AHM99" s="6"/>
      <c r="AHN99" s="6"/>
      <c r="AHO99" s="6"/>
      <c r="AHP99" s="6"/>
      <c r="AHQ99" s="6"/>
      <c r="AHR99" s="6"/>
      <c r="AHS99" s="6"/>
      <c r="AHT99" s="6"/>
      <c r="AHU99" s="6"/>
      <c r="AHV99" s="6"/>
      <c r="AHW99" s="6"/>
      <c r="AHX99" s="6"/>
      <c r="AHY99" s="6"/>
      <c r="AHZ99" s="6"/>
      <c r="AIA99" s="6"/>
      <c r="AIB99" s="6"/>
      <c r="AIC99" s="6"/>
      <c r="AID99" s="6"/>
      <c r="AIE99" s="6"/>
      <c r="AIF99" s="6"/>
      <c r="AIG99" s="6"/>
      <c r="AIH99" s="6"/>
      <c r="AII99" s="6"/>
      <c r="AIJ99" s="6"/>
      <c r="AIK99" s="6"/>
      <c r="AIL99" s="6"/>
      <c r="AIM99" s="6"/>
      <c r="AIN99" s="6"/>
      <c r="AIO99" s="6"/>
      <c r="AIP99" s="6"/>
      <c r="AIQ99" s="6"/>
      <c r="AIR99" s="6"/>
      <c r="AIS99" s="6"/>
      <c r="AIT99" s="6"/>
      <c r="AIU99" s="6"/>
      <c r="AIV99" s="6"/>
      <c r="AIW99" s="6"/>
      <c r="AIX99" s="6"/>
      <c r="AIY99" s="6"/>
      <c r="AIZ99" s="6"/>
      <c r="AJA99" s="6"/>
      <c r="AJB99" s="6"/>
      <c r="AJC99" s="6"/>
    </row>
    <row r="100" spans="1:939" s="85" customFormat="1" ht="24.75" customHeight="1" x14ac:dyDescent="0.25">
      <c r="A100" s="431" t="s">
        <v>161</v>
      </c>
      <c r="B100" s="432"/>
      <c r="C100" s="432"/>
      <c r="D100" s="437" t="s">
        <v>30</v>
      </c>
      <c r="E100" s="437"/>
      <c r="F100" s="437"/>
      <c r="G100" s="437"/>
      <c r="H100" s="437"/>
      <c r="I100" s="437"/>
      <c r="J100" s="437"/>
      <c r="K100" s="437"/>
      <c r="L100" s="437"/>
      <c r="M100" s="126"/>
      <c r="N100" s="81">
        <f>SUMIF($M$73:$M$99,D100,$N$73:$N$99)</f>
        <v>41500000</v>
      </c>
      <c r="O100" s="81"/>
      <c r="P100" s="98">
        <f>SUMIF($M$73:$M$99,D100,$P$73:$P$99)</f>
        <v>22478230.82</v>
      </c>
      <c r="Q100" s="81"/>
      <c r="R100" s="98">
        <f>SUMIF($M$73:$M$99,D100,$R$73:$R$99)</f>
        <v>29090.971703756208</v>
      </c>
      <c r="S100" s="98">
        <f>SUMIF($M$73:$M$99,D100,$S$73:$S$99)</f>
        <v>779879.60988818214</v>
      </c>
      <c r="T100" s="81">
        <f>SUMIF($M$73:$M$99,D100,$T$73:$T$99)</f>
        <v>22449139.848296244</v>
      </c>
      <c r="U100" s="81"/>
      <c r="V100" s="83"/>
      <c r="W100" s="84"/>
      <c r="X100" s="47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  <c r="BQ100" s="68"/>
      <c r="BR100" s="68"/>
      <c r="BS100" s="68"/>
      <c r="BT100" s="68"/>
      <c r="BU100" s="68"/>
      <c r="BV100" s="68"/>
      <c r="BW100" s="68"/>
      <c r="BX100" s="68"/>
      <c r="BY100" s="68"/>
      <c r="BZ100" s="68"/>
      <c r="CA100" s="68"/>
      <c r="CB100" s="68"/>
      <c r="CC100" s="68"/>
      <c r="CD100" s="68"/>
      <c r="CE100" s="68"/>
      <c r="CF100" s="68"/>
      <c r="CG100" s="68"/>
      <c r="CH100" s="68"/>
      <c r="CI100" s="68"/>
      <c r="CJ100" s="68"/>
      <c r="CK100" s="68"/>
      <c r="CL100" s="68"/>
      <c r="CM100" s="68"/>
      <c r="CN100" s="68"/>
      <c r="CO100" s="68"/>
      <c r="CP100" s="68"/>
      <c r="CQ100" s="68"/>
      <c r="CR100" s="68"/>
      <c r="CS100" s="68"/>
      <c r="CT100" s="68"/>
      <c r="CU100" s="68"/>
      <c r="CV100" s="68"/>
      <c r="CW100" s="68"/>
      <c r="CX100" s="68"/>
      <c r="CY100" s="68"/>
      <c r="CZ100" s="68"/>
      <c r="DA100" s="68"/>
      <c r="DB100" s="68"/>
      <c r="DC100" s="68"/>
      <c r="DD100" s="68"/>
      <c r="DE100" s="68"/>
      <c r="DF100" s="68"/>
      <c r="DG100" s="68"/>
      <c r="DH100" s="68"/>
      <c r="DI100" s="68"/>
      <c r="DJ100" s="68"/>
      <c r="DK100" s="68"/>
      <c r="DL100" s="68"/>
      <c r="DM100" s="68"/>
      <c r="DN100" s="68"/>
      <c r="DO100" s="68"/>
      <c r="DP100" s="68"/>
      <c r="DQ100" s="68"/>
      <c r="DR100" s="68"/>
      <c r="DS100" s="68"/>
      <c r="DT100" s="68"/>
      <c r="DU100" s="68"/>
      <c r="DV100" s="68"/>
      <c r="DW100" s="68"/>
      <c r="DX100" s="68"/>
      <c r="DY100" s="68"/>
      <c r="DZ100" s="68"/>
      <c r="EA100" s="68"/>
      <c r="EB100" s="68"/>
      <c r="EC100" s="68"/>
      <c r="ED100" s="68"/>
      <c r="EE100" s="68"/>
      <c r="EF100" s="68"/>
      <c r="EG100" s="68"/>
      <c r="EH100" s="68"/>
      <c r="EI100" s="68"/>
      <c r="EJ100" s="68"/>
      <c r="EK100" s="68"/>
      <c r="EL100" s="68"/>
      <c r="EM100" s="68"/>
      <c r="EN100" s="68"/>
      <c r="EO100" s="68"/>
      <c r="EP100" s="68"/>
      <c r="EQ100" s="68"/>
      <c r="ER100" s="68"/>
      <c r="ES100" s="68"/>
      <c r="ET100" s="68"/>
      <c r="EU100" s="68"/>
      <c r="EV100" s="68"/>
      <c r="EW100" s="68"/>
      <c r="EX100" s="68"/>
      <c r="EY100" s="68"/>
      <c r="EZ100" s="68"/>
      <c r="FA100" s="68"/>
      <c r="FB100" s="68"/>
      <c r="FC100" s="68"/>
      <c r="FD100" s="68"/>
      <c r="FE100" s="68"/>
      <c r="FF100" s="68"/>
      <c r="FG100" s="68"/>
      <c r="FH100" s="68"/>
      <c r="FI100" s="68"/>
      <c r="FJ100" s="68"/>
      <c r="FK100" s="68"/>
      <c r="FL100" s="68"/>
      <c r="FM100" s="68"/>
      <c r="FN100" s="68"/>
      <c r="FO100" s="68"/>
      <c r="FP100" s="68"/>
      <c r="FQ100" s="68"/>
      <c r="FR100" s="68"/>
      <c r="FS100" s="68"/>
      <c r="FT100" s="68"/>
      <c r="FU100" s="68"/>
      <c r="FV100" s="68"/>
      <c r="FW100" s="68"/>
      <c r="FX100" s="68"/>
      <c r="FY100" s="68"/>
      <c r="FZ100" s="68"/>
      <c r="GA100" s="68"/>
      <c r="GB100" s="68"/>
      <c r="GC100" s="68"/>
      <c r="GD100" s="68"/>
      <c r="GE100" s="68"/>
      <c r="GF100" s="68"/>
      <c r="GG100" s="68"/>
      <c r="GH100" s="68"/>
      <c r="GI100" s="68"/>
      <c r="GJ100" s="68"/>
      <c r="GK100" s="68"/>
      <c r="GL100" s="68"/>
      <c r="GM100" s="68"/>
      <c r="GN100" s="68"/>
      <c r="GO100" s="68"/>
      <c r="GP100" s="68"/>
      <c r="GQ100" s="68"/>
      <c r="GR100" s="68"/>
      <c r="GS100" s="68"/>
      <c r="GT100" s="68"/>
      <c r="GU100" s="68"/>
      <c r="GV100" s="68"/>
      <c r="GW100" s="68"/>
      <c r="GX100" s="68"/>
      <c r="GY100" s="68"/>
      <c r="GZ100" s="68"/>
      <c r="HA100" s="68"/>
      <c r="HB100" s="68"/>
      <c r="HC100" s="68"/>
      <c r="HD100" s="68"/>
      <c r="HE100" s="68"/>
      <c r="HF100" s="68"/>
      <c r="HG100" s="68"/>
      <c r="HH100" s="68"/>
      <c r="HI100" s="68"/>
      <c r="HJ100" s="68"/>
      <c r="HK100" s="68"/>
      <c r="HL100" s="68"/>
      <c r="HM100" s="68"/>
      <c r="HN100" s="68"/>
      <c r="HO100" s="68"/>
      <c r="HP100" s="68"/>
      <c r="HQ100" s="68"/>
      <c r="HR100" s="68"/>
      <c r="HS100" s="68"/>
      <c r="HT100" s="68"/>
      <c r="HU100" s="68"/>
      <c r="HV100" s="68"/>
      <c r="HW100" s="68"/>
      <c r="HX100" s="68"/>
      <c r="HY100" s="68"/>
      <c r="HZ100" s="68"/>
      <c r="IA100" s="68"/>
      <c r="IB100" s="68"/>
      <c r="IC100" s="68"/>
      <c r="ID100" s="68"/>
      <c r="IE100" s="68"/>
      <c r="IF100" s="68"/>
      <c r="IG100" s="68"/>
      <c r="IH100" s="68"/>
      <c r="II100" s="68"/>
      <c r="IJ100" s="68"/>
      <c r="IK100" s="68"/>
      <c r="IL100" s="68"/>
      <c r="IM100" s="68"/>
      <c r="IN100" s="68"/>
      <c r="IO100" s="68"/>
      <c r="IP100" s="68"/>
      <c r="IQ100" s="68"/>
      <c r="IR100" s="68"/>
      <c r="IS100" s="68"/>
      <c r="IT100" s="68"/>
      <c r="IU100" s="68"/>
      <c r="IV100" s="68"/>
      <c r="IW100" s="68"/>
      <c r="IX100" s="68"/>
      <c r="IY100" s="68"/>
      <c r="IZ100" s="68"/>
      <c r="JA100" s="68"/>
      <c r="JB100" s="68"/>
      <c r="JC100" s="68"/>
      <c r="JD100" s="68"/>
      <c r="JE100" s="68"/>
      <c r="JF100" s="68"/>
      <c r="JG100" s="68"/>
      <c r="JH100" s="68"/>
      <c r="JI100" s="68"/>
      <c r="JJ100" s="68"/>
      <c r="JK100" s="68"/>
      <c r="JL100" s="68"/>
      <c r="JM100" s="68"/>
      <c r="JN100" s="68"/>
      <c r="JO100" s="68"/>
      <c r="JP100" s="68"/>
      <c r="JQ100" s="68"/>
      <c r="JR100" s="68"/>
      <c r="JS100" s="68"/>
      <c r="JT100" s="68"/>
      <c r="JU100" s="68"/>
      <c r="JV100" s="68"/>
      <c r="JW100" s="68"/>
      <c r="JX100" s="68"/>
      <c r="JY100" s="68"/>
      <c r="JZ100" s="68"/>
      <c r="KA100" s="68"/>
      <c r="KB100" s="68"/>
      <c r="KC100" s="68"/>
      <c r="KD100" s="68"/>
      <c r="KE100" s="68"/>
      <c r="KF100" s="68"/>
      <c r="KG100" s="68"/>
      <c r="KH100" s="68"/>
      <c r="KI100" s="68"/>
      <c r="KJ100" s="68"/>
      <c r="KK100" s="68"/>
      <c r="KL100" s="68"/>
      <c r="KM100" s="68"/>
      <c r="KN100" s="68"/>
      <c r="KO100" s="68"/>
      <c r="KP100" s="68"/>
      <c r="KQ100" s="68"/>
      <c r="KR100" s="68"/>
      <c r="KS100" s="68"/>
      <c r="KT100" s="68"/>
      <c r="KU100" s="68"/>
      <c r="KV100" s="68"/>
      <c r="KW100" s="68"/>
      <c r="KX100" s="68"/>
      <c r="KY100" s="68"/>
      <c r="KZ100" s="68"/>
      <c r="LA100" s="68"/>
      <c r="LB100" s="68"/>
      <c r="LC100" s="68"/>
      <c r="LD100" s="68"/>
      <c r="LE100" s="68"/>
      <c r="LF100" s="68"/>
      <c r="LG100" s="68"/>
      <c r="LH100" s="68"/>
      <c r="LI100" s="68"/>
      <c r="LJ100" s="68"/>
      <c r="LK100" s="68"/>
      <c r="LL100" s="68"/>
      <c r="LM100" s="68"/>
      <c r="LN100" s="68"/>
      <c r="LO100" s="68"/>
      <c r="LP100" s="68"/>
      <c r="LQ100" s="68"/>
      <c r="LR100" s="68"/>
      <c r="LS100" s="68"/>
      <c r="LT100" s="68"/>
      <c r="LU100" s="68"/>
      <c r="LV100" s="68"/>
      <c r="LW100" s="68"/>
      <c r="LX100" s="68"/>
      <c r="LY100" s="68"/>
      <c r="LZ100" s="68"/>
      <c r="MA100" s="68"/>
      <c r="MB100" s="68"/>
      <c r="MC100" s="68"/>
      <c r="MD100" s="68"/>
      <c r="ME100" s="68"/>
      <c r="MF100" s="68"/>
      <c r="MG100" s="68"/>
      <c r="MH100" s="68"/>
      <c r="MI100" s="68"/>
      <c r="MJ100" s="68"/>
      <c r="MK100" s="68"/>
      <c r="ML100" s="68"/>
      <c r="MM100" s="68"/>
      <c r="MN100" s="68"/>
      <c r="MO100" s="68"/>
      <c r="MP100" s="68"/>
      <c r="MQ100" s="68"/>
      <c r="MR100" s="68"/>
      <c r="MS100" s="68"/>
      <c r="MT100" s="68"/>
      <c r="MU100" s="68"/>
      <c r="MV100" s="68"/>
      <c r="MW100" s="68"/>
      <c r="MX100" s="68"/>
      <c r="MY100" s="68"/>
      <c r="MZ100" s="68"/>
      <c r="NA100" s="68"/>
      <c r="NB100" s="68"/>
      <c r="NC100" s="68"/>
      <c r="ND100" s="68"/>
      <c r="NE100" s="68"/>
      <c r="NF100" s="68"/>
      <c r="NG100" s="68"/>
      <c r="NH100" s="68"/>
      <c r="NI100" s="68"/>
      <c r="NJ100" s="68"/>
      <c r="NK100" s="68"/>
      <c r="NL100" s="68"/>
      <c r="NM100" s="68"/>
      <c r="NN100" s="68"/>
      <c r="NO100" s="68"/>
      <c r="NP100" s="68"/>
      <c r="NQ100" s="68"/>
      <c r="NR100" s="68"/>
      <c r="NS100" s="68"/>
      <c r="NT100" s="68"/>
      <c r="NU100" s="68"/>
      <c r="NV100" s="68"/>
      <c r="NW100" s="68"/>
      <c r="NX100" s="68"/>
      <c r="NY100" s="68"/>
      <c r="NZ100" s="68"/>
      <c r="OA100" s="68"/>
      <c r="OB100" s="68"/>
      <c r="OC100" s="68"/>
      <c r="OD100" s="68"/>
      <c r="OE100" s="68"/>
      <c r="OF100" s="68"/>
      <c r="OG100" s="68"/>
      <c r="OH100" s="68"/>
      <c r="OI100" s="68"/>
      <c r="OJ100" s="68"/>
      <c r="OK100" s="68"/>
      <c r="OL100" s="68"/>
      <c r="OM100" s="68"/>
      <c r="ON100" s="68"/>
      <c r="OO100" s="68"/>
      <c r="OP100" s="68"/>
      <c r="OQ100" s="68"/>
      <c r="OR100" s="68"/>
      <c r="OS100" s="68"/>
      <c r="OT100" s="68"/>
      <c r="OU100" s="68"/>
      <c r="OV100" s="68"/>
      <c r="OW100" s="68"/>
      <c r="OX100" s="68"/>
      <c r="OY100" s="68"/>
      <c r="OZ100" s="68"/>
      <c r="PA100" s="68"/>
      <c r="PB100" s="68"/>
      <c r="PC100" s="68"/>
      <c r="PD100" s="68"/>
      <c r="PE100" s="68"/>
      <c r="PF100" s="68"/>
      <c r="PG100" s="68"/>
      <c r="PH100" s="68"/>
      <c r="PI100" s="68"/>
      <c r="PJ100" s="68"/>
      <c r="PK100" s="68"/>
      <c r="PL100" s="68"/>
      <c r="PM100" s="68"/>
      <c r="PN100" s="68"/>
      <c r="PO100" s="68"/>
      <c r="PP100" s="68"/>
      <c r="PQ100" s="68"/>
      <c r="PR100" s="68"/>
      <c r="PS100" s="68"/>
      <c r="PT100" s="68"/>
      <c r="PU100" s="68"/>
      <c r="PV100" s="68"/>
      <c r="PW100" s="68"/>
      <c r="PX100" s="68"/>
      <c r="PY100" s="68"/>
      <c r="PZ100" s="68"/>
      <c r="QA100" s="68"/>
      <c r="QB100" s="68"/>
      <c r="QC100" s="68"/>
      <c r="QD100" s="68"/>
      <c r="QE100" s="68"/>
      <c r="QF100" s="68"/>
      <c r="QG100" s="68"/>
      <c r="QH100" s="68"/>
      <c r="QI100" s="68"/>
      <c r="QJ100" s="68"/>
      <c r="QK100" s="68"/>
      <c r="QL100" s="68"/>
      <c r="QM100" s="68"/>
      <c r="QN100" s="68"/>
      <c r="QO100" s="68"/>
      <c r="QP100" s="68"/>
      <c r="QQ100" s="68"/>
      <c r="QR100" s="68"/>
      <c r="QS100" s="68"/>
      <c r="QT100" s="68"/>
      <c r="QU100" s="68"/>
      <c r="QV100" s="68"/>
      <c r="QW100" s="68"/>
      <c r="QX100" s="68"/>
      <c r="QY100" s="68"/>
      <c r="QZ100" s="68"/>
      <c r="RA100" s="68"/>
      <c r="RB100" s="68"/>
      <c r="RC100" s="68"/>
      <c r="RD100" s="68"/>
      <c r="RE100" s="68"/>
      <c r="RF100" s="68"/>
      <c r="RG100" s="68"/>
      <c r="RH100" s="68"/>
      <c r="RI100" s="68"/>
      <c r="RJ100" s="68"/>
      <c r="RK100" s="68"/>
      <c r="RL100" s="68"/>
      <c r="RM100" s="68"/>
      <c r="RN100" s="68"/>
      <c r="RO100" s="68"/>
      <c r="RP100" s="68"/>
      <c r="RQ100" s="68"/>
      <c r="RR100" s="68"/>
      <c r="RS100" s="68"/>
      <c r="RT100" s="68"/>
      <c r="RU100" s="68"/>
      <c r="RV100" s="68"/>
      <c r="RW100" s="68"/>
      <c r="RX100" s="68"/>
      <c r="RY100" s="68"/>
      <c r="RZ100" s="68"/>
      <c r="SA100" s="68"/>
      <c r="SB100" s="68"/>
      <c r="SC100" s="68"/>
      <c r="SD100" s="68"/>
      <c r="SE100" s="68"/>
      <c r="SF100" s="68"/>
      <c r="SG100" s="68"/>
      <c r="SH100" s="68"/>
      <c r="SI100" s="68"/>
      <c r="SJ100" s="68"/>
      <c r="SK100" s="68"/>
      <c r="SL100" s="68"/>
      <c r="SM100" s="68"/>
      <c r="SN100" s="68"/>
      <c r="SO100" s="68"/>
      <c r="SP100" s="68"/>
      <c r="SQ100" s="68"/>
      <c r="SR100" s="68"/>
      <c r="SS100" s="68"/>
      <c r="ST100" s="68"/>
      <c r="SU100" s="68"/>
      <c r="SV100" s="68"/>
      <c r="SW100" s="68"/>
      <c r="SX100" s="68"/>
      <c r="SY100" s="68"/>
      <c r="SZ100" s="68"/>
      <c r="TA100" s="68"/>
      <c r="TB100" s="68"/>
      <c r="TC100" s="68"/>
      <c r="TD100" s="68"/>
      <c r="TE100" s="68"/>
      <c r="TF100" s="68"/>
      <c r="TG100" s="68"/>
      <c r="TH100" s="68"/>
      <c r="TI100" s="68"/>
      <c r="TJ100" s="68"/>
      <c r="TK100" s="68"/>
      <c r="TL100" s="68"/>
      <c r="TM100" s="68"/>
      <c r="TN100" s="68"/>
      <c r="TO100" s="68"/>
      <c r="TP100" s="68"/>
      <c r="TQ100" s="68"/>
      <c r="TR100" s="68"/>
      <c r="TS100" s="68"/>
      <c r="TT100" s="68"/>
      <c r="TU100" s="68"/>
      <c r="TV100" s="68"/>
      <c r="TW100" s="68"/>
      <c r="TX100" s="68"/>
      <c r="TY100" s="68"/>
      <c r="TZ100" s="68"/>
      <c r="UA100" s="68"/>
      <c r="UB100" s="68"/>
      <c r="UC100" s="68"/>
      <c r="UD100" s="68"/>
      <c r="UE100" s="68"/>
      <c r="UF100" s="68"/>
      <c r="UG100" s="68"/>
      <c r="UH100" s="68"/>
      <c r="UI100" s="68"/>
      <c r="UJ100" s="68"/>
      <c r="UK100" s="68"/>
      <c r="UL100" s="68"/>
      <c r="UM100" s="68"/>
      <c r="UN100" s="68"/>
      <c r="UO100" s="68"/>
      <c r="UP100" s="68"/>
      <c r="UQ100" s="68"/>
      <c r="UR100" s="68"/>
      <c r="US100" s="68"/>
      <c r="UT100" s="68"/>
      <c r="UU100" s="68"/>
      <c r="UV100" s="68"/>
      <c r="UW100" s="68"/>
      <c r="UX100" s="68"/>
      <c r="UY100" s="68"/>
      <c r="UZ100" s="68"/>
      <c r="VA100" s="68"/>
      <c r="VB100" s="68"/>
      <c r="VC100" s="68"/>
      <c r="VD100" s="68"/>
      <c r="VE100" s="68"/>
      <c r="VF100" s="68"/>
      <c r="VG100" s="68"/>
      <c r="VH100" s="68"/>
      <c r="VI100" s="68"/>
      <c r="VJ100" s="68"/>
      <c r="VK100" s="68"/>
      <c r="VL100" s="68"/>
      <c r="VM100" s="68"/>
      <c r="VN100" s="68"/>
      <c r="VO100" s="68"/>
      <c r="VP100" s="68"/>
      <c r="VQ100" s="68"/>
      <c r="VR100" s="68"/>
      <c r="VS100" s="68"/>
      <c r="VT100" s="68"/>
      <c r="VU100" s="68"/>
      <c r="VV100" s="68"/>
      <c r="VW100" s="68"/>
      <c r="VX100" s="68"/>
      <c r="VY100" s="68"/>
      <c r="VZ100" s="68"/>
      <c r="WA100" s="68"/>
      <c r="WB100" s="68"/>
      <c r="WC100" s="68"/>
      <c r="WD100" s="68"/>
      <c r="WE100" s="68"/>
      <c r="WF100" s="68"/>
      <c r="WG100" s="68"/>
      <c r="WH100" s="68"/>
      <c r="WI100" s="68"/>
      <c r="WJ100" s="68"/>
      <c r="WK100" s="68"/>
      <c r="WL100" s="68"/>
      <c r="WM100" s="68"/>
      <c r="WN100" s="68"/>
      <c r="WO100" s="68"/>
      <c r="WP100" s="68"/>
      <c r="WQ100" s="68"/>
      <c r="WR100" s="68"/>
      <c r="WS100" s="68"/>
      <c r="WT100" s="68"/>
      <c r="WU100" s="68"/>
      <c r="WV100" s="68"/>
      <c r="WW100" s="68"/>
      <c r="WX100" s="68"/>
      <c r="WY100" s="68"/>
      <c r="WZ100" s="68"/>
      <c r="XA100" s="68"/>
      <c r="XB100" s="68"/>
      <c r="XC100" s="68"/>
      <c r="XD100" s="68"/>
      <c r="XE100" s="68"/>
      <c r="XF100" s="68"/>
      <c r="XG100" s="68"/>
      <c r="XH100" s="68"/>
      <c r="XI100" s="68"/>
      <c r="XJ100" s="68"/>
      <c r="XK100" s="68"/>
      <c r="XL100" s="68"/>
      <c r="XM100" s="68"/>
      <c r="XN100" s="68"/>
      <c r="XO100" s="68"/>
      <c r="XP100" s="68"/>
      <c r="XQ100" s="68"/>
      <c r="XR100" s="68"/>
      <c r="XS100" s="68"/>
      <c r="XT100" s="68"/>
      <c r="XU100" s="68"/>
      <c r="XV100" s="68"/>
      <c r="XW100" s="68"/>
      <c r="XX100" s="68"/>
      <c r="XY100" s="68"/>
      <c r="XZ100" s="68"/>
      <c r="YA100" s="68"/>
      <c r="YB100" s="68"/>
      <c r="YC100" s="68"/>
      <c r="YD100" s="68"/>
      <c r="YE100" s="68"/>
      <c r="YF100" s="68"/>
      <c r="YG100" s="68"/>
      <c r="YH100" s="68"/>
      <c r="YI100" s="68"/>
      <c r="YJ100" s="68"/>
      <c r="YK100" s="68"/>
      <c r="YL100" s="68"/>
      <c r="YM100" s="68"/>
      <c r="YN100" s="68"/>
      <c r="YO100" s="68"/>
      <c r="YP100" s="68"/>
      <c r="YQ100" s="68"/>
      <c r="YR100" s="68"/>
      <c r="YS100" s="68"/>
      <c r="YT100" s="68"/>
      <c r="YU100" s="68"/>
      <c r="YV100" s="68"/>
      <c r="YW100" s="68"/>
      <c r="YX100" s="68"/>
      <c r="YY100" s="68"/>
      <c r="YZ100" s="68"/>
      <c r="ZA100" s="68"/>
      <c r="ZB100" s="68"/>
      <c r="ZC100" s="68"/>
      <c r="ZD100" s="68"/>
      <c r="ZE100" s="68"/>
      <c r="ZF100" s="68"/>
      <c r="ZG100" s="68"/>
      <c r="ZH100" s="68"/>
      <c r="ZI100" s="68"/>
      <c r="ZJ100" s="68"/>
      <c r="ZK100" s="68"/>
      <c r="ZL100" s="68"/>
      <c r="ZM100" s="68"/>
      <c r="ZN100" s="68"/>
      <c r="ZO100" s="68"/>
      <c r="ZP100" s="68"/>
      <c r="ZQ100" s="68"/>
      <c r="ZR100" s="68"/>
      <c r="ZS100" s="68"/>
      <c r="ZT100" s="68"/>
      <c r="ZU100" s="68"/>
      <c r="ZV100" s="68"/>
      <c r="ZW100" s="68"/>
      <c r="ZX100" s="68"/>
      <c r="ZY100" s="68"/>
      <c r="ZZ100" s="68"/>
      <c r="AAA100" s="68"/>
      <c r="AAB100" s="68"/>
      <c r="AAC100" s="68"/>
      <c r="AAD100" s="68"/>
      <c r="AAE100" s="68"/>
      <c r="AAF100" s="68"/>
      <c r="AAG100" s="68"/>
      <c r="AAH100" s="68"/>
      <c r="AAI100" s="68"/>
      <c r="AAJ100" s="68"/>
      <c r="AAK100" s="68"/>
      <c r="AAL100" s="68"/>
      <c r="AAM100" s="68"/>
      <c r="AAN100" s="68"/>
      <c r="AAO100" s="68"/>
      <c r="AAP100" s="68"/>
      <c r="AAQ100" s="68"/>
      <c r="AAR100" s="68"/>
      <c r="AAS100" s="68"/>
      <c r="AAT100" s="68"/>
      <c r="AAU100" s="68"/>
      <c r="AAV100" s="68"/>
      <c r="AAW100" s="68"/>
      <c r="AAX100" s="68"/>
      <c r="AAY100" s="68"/>
      <c r="AAZ100" s="68"/>
      <c r="ABA100" s="68"/>
      <c r="ABB100" s="68"/>
      <c r="ABC100" s="68"/>
      <c r="ABD100" s="68"/>
      <c r="ABE100" s="68"/>
      <c r="ABF100" s="68"/>
      <c r="ABG100" s="68"/>
      <c r="ABH100" s="68"/>
      <c r="ABI100" s="68"/>
      <c r="ABJ100" s="68"/>
      <c r="ABK100" s="68"/>
      <c r="ABL100" s="68"/>
      <c r="ABM100" s="68"/>
      <c r="ABN100" s="68"/>
      <c r="ABO100" s="68"/>
      <c r="ABP100" s="68"/>
      <c r="ABQ100" s="68"/>
      <c r="ABR100" s="68"/>
      <c r="ABS100" s="68"/>
      <c r="ABT100" s="68"/>
      <c r="ABU100" s="68"/>
      <c r="ABV100" s="68"/>
      <c r="ABW100" s="68"/>
      <c r="ABX100" s="68"/>
      <c r="ABY100" s="68"/>
      <c r="ABZ100" s="68"/>
      <c r="ACA100" s="68"/>
      <c r="ACB100" s="68"/>
      <c r="ACC100" s="68"/>
      <c r="ACD100" s="68"/>
      <c r="ACE100" s="68"/>
      <c r="ACF100" s="68"/>
      <c r="ACG100" s="68"/>
      <c r="ACH100" s="68"/>
      <c r="ACI100" s="68"/>
      <c r="ACJ100" s="68"/>
      <c r="ACK100" s="68"/>
      <c r="ACL100" s="68"/>
      <c r="ACM100" s="68"/>
      <c r="ACN100" s="68"/>
      <c r="ACO100" s="68"/>
      <c r="ACP100" s="68"/>
      <c r="ACQ100" s="68"/>
      <c r="ACR100" s="68"/>
      <c r="ACS100" s="68"/>
      <c r="ACT100" s="68"/>
      <c r="ACU100" s="68"/>
      <c r="ACV100" s="68"/>
      <c r="ACW100" s="68"/>
      <c r="ACX100" s="68"/>
      <c r="ACY100" s="68"/>
      <c r="ACZ100" s="68"/>
      <c r="ADA100" s="68"/>
      <c r="ADB100" s="68"/>
      <c r="ADC100" s="68"/>
      <c r="ADD100" s="68"/>
      <c r="ADE100" s="68"/>
      <c r="ADF100" s="68"/>
      <c r="ADG100" s="68"/>
      <c r="ADH100" s="68"/>
      <c r="ADI100" s="68"/>
      <c r="ADJ100" s="68"/>
      <c r="ADK100" s="68"/>
      <c r="ADL100" s="68"/>
      <c r="ADM100" s="68"/>
      <c r="ADN100" s="68"/>
      <c r="ADO100" s="68"/>
      <c r="ADP100" s="68"/>
      <c r="ADQ100" s="68"/>
      <c r="ADR100" s="68"/>
      <c r="ADS100" s="68"/>
      <c r="ADT100" s="68"/>
      <c r="ADU100" s="68"/>
      <c r="ADV100" s="68"/>
      <c r="ADW100" s="68"/>
      <c r="ADX100" s="68"/>
      <c r="ADY100" s="68"/>
      <c r="ADZ100" s="68"/>
      <c r="AEA100" s="68"/>
      <c r="AEB100" s="68"/>
      <c r="AEC100" s="68"/>
      <c r="AED100" s="68"/>
      <c r="AEE100" s="68"/>
      <c r="AEF100" s="68"/>
      <c r="AEG100" s="68"/>
      <c r="AEH100" s="68"/>
      <c r="AEI100" s="68"/>
      <c r="AEJ100" s="68"/>
      <c r="AEK100" s="68"/>
      <c r="AEL100" s="68"/>
      <c r="AEM100" s="68"/>
      <c r="AEN100" s="68"/>
      <c r="AEO100" s="68"/>
      <c r="AEP100" s="68"/>
      <c r="AEQ100" s="68"/>
      <c r="AER100" s="68"/>
      <c r="AES100" s="68"/>
      <c r="AET100" s="68"/>
      <c r="AEU100" s="68"/>
      <c r="AEV100" s="68"/>
      <c r="AEW100" s="68"/>
      <c r="AEX100" s="68"/>
      <c r="AEY100" s="68"/>
      <c r="AEZ100" s="68"/>
      <c r="AFA100" s="68"/>
      <c r="AFB100" s="68"/>
      <c r="AFC100" s="68"/>
      <c r="AFD100" s="68"/>
      <c r="AFE100" s="68"/>
      <c r="AFF100" s="68"/>
      <c r="AFG100" s="68"/>
      <c r="AFH100" s="68"/>
      <c r="AFI100" s="68"/>
      <c r="AFJ100" s="68"/>
      <c r="AFK100" s="68"/>
      <c r="AFL100" s="68"/>
      <c r="AFM100" s="68"/>
      <c r="AFN100" s="68"/>
      <c r="AFO100" s="68"/>
      <c r="AFP100" s="68"/>
      <c r="AFQ100" s="68"/>
      <c r="AFR100" s="68"/>
      <c r="AFS100" s="68"/>
      <c r="AFT100" s="68"/>
      <c r="AFU100" s="68"/>
      <c r="AFV100" s="68"/>
      <c r="AFW100" s="68"/>
      <c r="AFX100" s="68"/>
      <c r="AFY100" s="68"/>
      <c r="AFZ100" s="68"/>
      <c r="AGA100" s="68"/>
      <c r="AGB100" s="68"/>
      <c r="AGC100" s="68"/>
      <c r="AGD100" s="68"/>
      <c r="AGE100" s="68"/>
      <c r="AGF100" s="68"/>
      <c r="AGG100" s="68"/>
      <c r="AGH100" s="68"/>
      <c r="AGI100" s="68"/>
      <c r="AGJ100" s="68"/>
      <c r="AGK100" s="68"/>
      <c r="AGL100" s="68"/>
      <c r="AGM100" s="68"/>
      <c r="AGN100" s="68"/>
      <c r="AGO100" s="68"/>
      <c r="AGP100" s="68"/>
      <c r="AGQ100" s="68"/>
      <c r="AGR100" s="68"/>
      <c r="AGS100" s="68"/>
      <c r="AGT100" s="68"/>
      <c r="AGU100" s="68"/>
      <c r="AGV100" s="68"/>
      <c r="AGW100" s="68"/>
      <c r="AGX100" s="68"/>
      <c r="AGY100" s="68"/>
      <c r="AGZ100" s="68"/>
      <c r="AHA100" s="68"/>
      <c r="AHB100" s="68"/>
      <c r="AHC100" s="68"/>
      <c r="AHD100" s="68"/>
      <c r="AHE100" s="68"/>
      <c r="AHF100" s="68"/>
      <c r="AHG100" s="68"/>
      <c r="AHH100" s="68"/>
      <c r="AHI100" s="68"/>
      <c r="AHJ100" s="68"/>
      <c r="AHK100" s="68"/>
      <c r="AHL100" s="68"/>
      <c r="AHM100" s="68"/>
      <c r="AHN100" s="68"/>
      <c r="AHO100" s="68"/>
      <c r="AHP100" s="68"/>
      <c r="AHQ100" s="68"/>
      <c r="AHR100" s="68"/>
      <c r="AHS100" s="68"/>
      <c r="AHT100" s="68"/>
      <c r="AHU100" s="68"/>
      <c r="AHV100" s="68"/>
      <c r="AHW100" s="68"/>
      <c r="AHX100" s="68"/>
      <c r="AHY100" s="68"/>
      <c r="AHZ100" s="68"/>
      <c r="AIA100" s="68"/>
      <c r="AIB100" s="68"/>
      <c r="AIC100" s="68"/>
      <c r="AID100" s="68"/>
      <c r="AIE100" s="68"/>
      <c r="AIF100" s="68"/>
      <c r="AIG100" s="68"/>
      <c r="AIH100" s="68"/>
      <c r="AII100" s="68"/>
      <c r="AIJ100" s="68"/>
      <c r="AIK100" s="68"/>
      <c r="AIL100" s="68"/>
      <c r="AIM100" s="68"/>
      <c r="AIN100" s="68"/>
      <c r="AIO100" s="68"/>
      <c r="AIP100" s="68"/>
      <c r="AIQ100" s="68"/>
      <c r="AIR100" s="68"/>
      <c r="AIS100" s="68"/>
      <c r="AIT100" s="68"/>
      <c r="AIU100" s="68"/>
      <c r="AIV100" s="68"/>
      <c r="AIW100" s="68"/>
      <c r="AIX100" s="68"/>
      <c r="AIY100" s="68"/>
      <c r="AIZ100" s="68"/>
      <c r="AJA100" s="68"/>
      <c r="AJB100" s="68"/>
      <c r="AJC100" s="68"/>
    </row>
    <row r="101" spans="1:939" s="85" customFormat="1" ht="39" customHeight="1" x14ac:dyDescent="0.25">
      <c r="A101" s="433"/>
      <c r="B101" s="434"/>
      <c r="C101" s="434"/>
      <c r="D101" s="438" t="s">
        <v>51</v>
      </c>
      <c r="E101" s="438"/>
      <c r="F101" s="438"/>
      <c r="G101" s="438"/>
      <c r="H101" s="438"/>
      <c r="I101" s="438"/>
      <c r="J101" s="438"/>
      <c r="K101" s="438"/>
      <c r="L101" s="438"/>
      <c r="M101" s="86"/>
      <c r="N101" s="87">
        <f>SUMIF($M$73:$M$99,D101,$N$73:$N$99)</f>
        <v>20540988508.200001</v>
      </c>
      <c r="O101" s="87"/>
      <c r="P101" s="88">
        <f>SUMIF($M$73:$M$99,D101,$P$73:$P$99)</f>
        <v>20117946824</v>
      </c>
      <c r="Q101" s="87"/>
      <c r="R101" s="88">
        <f>SUMIF($M$73:$M$99,D101,$R$73:$R$99)</f>
        <v>3543338010.9000001</v>
      </c>
      <c r="S101" s="88">
        <f>SUMIF($M$73:$M$99,D101,$S$73:$S$99)</f>
        <v>3951514822.1799998</v>
      </c>
      <c r="T101" s="87">
        <f>SUMIF($M$73:$M$99,D101,$T$73:$T$99)</f>
        <v>16574608813.1</v>
      </c>
      <c r="U101" s="87"/>
      <c r="V101" s="89"/>
      <c r="W101" s="90"/>
      <c r="X101" s="47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  <c r="BQ101" s="68"/>
      <c r="BR101" s="68"/>
      <c r="BS101" s="68"/>
      <c r="BT101" s="68"/>
      <c r="BU101" s="68"/>
      <c r="BV101" s="68"/>
      <c r="BW101" s="68"/>
      <c r="BX101" s="68"/>
      <c r="BY101" s="68"/>
      <c r="BZ101" s="68"/>
      <c r="CA101" s="68"/>
      <c r="CB101" s="68"/>
      <c r="CC101" s="68"/>
      <c r="CD101" s="68"/>
      <c r="CE101" s="68"/>
      <c r="CF101" s="68"/>
      <c r="CG101" s="68"/>
      <c r="CH101" s="68"/>
      <c r="CI101" s="68"/>
      <c r="CJ101" s="68"/>
      <c r="CK101" s="68"/>
      <c r="CL101" s="68"/>
      <c r="CM101" s="68"/>
      <c r="CN101" s="68"/>
      <c r="CO101" s="68"/>
      <c r="CP101" s="68"/>
      <c r="CQ101" s="68"/>
      <c r="CR101" s="68"/>
      <c r="CS101" s="68"/>
      <c r="CT101" s="68"/>
      <c r="CU101" s="68"/>
      <c r="CV101" s="68"/>
      <c r="CW101" s="68"/>
      <c r="CX101" s="68"/>
      <c r="CY101" s="68"/>
      <c r="CZ101" s="68"/>
      <c r="DA101" s="68"/>
      <c r="DB101" s="68"/>
      <c r="DC101" s="68"/>
      <c r="DD101" s="68"/>
      <c r="DE101" s="68"/>
      <c r="DF101" s="68"/>
      <c r="DG101" s="68"/>
      <c r="DH101" s="68"/>
      <c r="DI101" s="68"/>
      <c r="DJ101" s="68"/>
      <c r="DK101" s="68"/>
      <c r="DL101" s="68"/>
      <c r="DM101" s="68"/>
      <c r="DN101" s="68"/>
      <c r="DO101" s="68"/>
      <c r="DP101" s="68"/>
      <c r="DQ101" s="68"/>
      <c r="DR101" s="68"/>
      <c r="DS101" s="68"/>
      <c r="DT101" s="68"/>
      <c r="DU101" s="68"/>
      <c r="DV101" s="68"/>
      <c r="DW101" s="68"/>
      <c r="DX101" s="68"/>
      <c r="DY101" s="68"/>
      <c r="DZ101" s="68"/>
      <c r="EA101" s="68"/>
      <c r="EB101" s="68"/>
      <c r="EC101" s="68"/>
      <c r="ED101" s="68"/>
      <c r="EE101" s="68"/>
      <c r="EF101" s="68"/>
      <c r="EG101" s="68"/>
      <c r="EH101" s="68"/>
      <c r="EI101" s="68"/>
      <c r="EJ101" s="68"/>
      <c r="EK101" s="68"/>
      <c r="EL101" s="68"/>
      <c r="EM101" s="68"/>
      <c r="EN101" s="68"/>
      <c r="EO101" s="68"/>
      <c r="EP101" s="68"/>
      <c r="EQ101" s="68"/>
      <c r="ER101" s="68"/>
      <c r="ES101" s="68"/>
      <c r="ET101" s="68"/>
      <c r="EU101" s="68"/>
      <c r="EV101" s="68"/>
      <c r="EW101" s="68"/>
      <c r="EX101" s="68"/>
      <c r="EY101" s="68"/>
      <c r="EZ101" s="68"/>
      <c r="FA101" s="68"/>
      <c r="FB101" s="68"/>
      <c r="FC101" s="68"/>
      <c r="FD101" s="68"/>
      <c r="FE101" s="68"/>
      <c r="FF101" s="68"/>
      <c r="FG101" s="68"/>
      <c r="FH101" s="68"/>
      <c r="FI101" s="68"/>
      <c r="FJ101" s="68"/>
      <c r="FK101" s="68"/>
      <c r="FL101" s="68"/>
      <c r="FM101" s="68"/>
      <c r="FN101" s="68"/>
      <c r="FO101" s="68"/>
      <c r="FP101" s="68"/>
      <c r="FQ101" s="68"/>
      <c r="FR101" s="68"/>
      <c r="FS101" s="68"/>
      <c r="FT101" s="68"/>
      <c r="FU101" s="68"/>
      <c r="FV101" s="68"/>
      <c r="FW101" s="68"/>
      <c r="FX101" s="68"/>
      <c r="FY101" s="68"/>
      <c r="FZ101" s="68"/>
      <c r="GA101" s="68"/>
      <c r="GB101" s="68"/>
      <c r="GC101" s="68"/>
      <c r="GD101" s="68"/>
      <c r="GE101" s="68"/>
      <c r="GF101" s="68"/>
      <c r="GG101" s="68"/>
      <c r="GH101" s="68"/>
      <c r="GI101" s="68"/>
      <c r="GJ101" s="68"/>
      <c r="GK101" s="68"/>
      <c r="GL101" s="68"/>
      <c r="GM101" s="68"/>
      <c r="GN101" s="68"/>
      <c r="GO101" s="68"/>
      <c r="GP101" s="68"/>
      <c r="GQ101" s="68"/>
      <c r="GR101" s="68"/>
      <c r="GS101" s="68"/>
      <c r="GT101" s="68"/>
      <c r="GU101" s="68"/>
      <c r="GV101" s="68"/>
      <c r="GW101" s="68"/>
      <c r="GX101" s="68"/>
      <c r="GY101" s="68"/>
      <c r="GZ101" s="68"/>
      <c r="HA101" s="68"/>
      <c r="HB101" s="68"/>
      <c r="HC101" s="68"/>
      <c r="HD101" s="68"/>
      <c r="HE101" s="68"/>
      <c r="HF101" s="68"/>
      <c r="HG101" s="68"/>
      <c r="HH101" s="68"/>
      <c r="HI101" s="68"/>
      <c r="HJ101" s="68"/>
      <c r="HK101" s="68"/>
      <c r="HL101" s="68"/>
      <c r="HM101" s="68"/>
      <c r="HN101" s="68"/>
      <c r="HO101" s="68"/>
      <c r="HP101" s="68"/>
      <c r="HQ101" s="68"/>
      <c r="HR101" s="68"/>
      <c r="HS101" s="68"/>
      <c r="HT101" s="68"/>
      <c r="HU101" s="68"/>
      <c r="HV101" s="68"/>
      <c r="HW101" s="68"/>
      <c r="HX101" s="68"/>
      <c r="HY101" s="68"/>
      <c r="HZ101" s="68"/>
      <c r="IA101" s="68"/>
      <c r="IB101" s="68"/>
      <c r="IC101" s="68"/>
      <c r="ID101" s="68"/>
      <c r="IE101" s="68"/>
      <c r="IF101" s="68"/>
      <c r="IG101" s="68"/>
      <c r="IH101" s="68"/>
      <c r="II101" s="68"/>
      <c r="IJ101" s="68"/>
      <c r="IK101" s="68"/>
      <c r="IL101" s="68"/>
      <c r="IM101" s="68"/>
      <c r="IN101" s="68"/>
      <c r="IO101" s="68"/>
      <c r="IP101" s="68"/>
      <c r="IQ101" s="68"/>
      <c r="IR101" s="68"/>
      <c r="IS101" s="68"/>
      <c r="IT101" s="68"/>
      <c r="IU101" s="68"/>
      <c r="IV101" s="68"/>
      <c r="IW101" s="68"/>
      <c r="IX101" s="68"/>
      <c r="IY101" s="68"/>
      <c r="IZ101" s="68"/>
      <c r="JA101" s="68"/>
      <c r="JB101" s="68"/>
      <c r="JC101" s="68"/>
      <c r="JD101" s="68"/>
      <c r="JE101" s="68"/>
      <c r="JF101" s="68"/>
      <c r="JG101" s="68"/>
      <c r="JH101" s="68"/>
      <c r="JI101" s="68"/>
      <c r="JJ101" s="68"/>
      <c r="JK101" s="68"/>
      <c r="JL101" s="68"/>
      <c r="JM101" s="68"/>
      <c r="JN101" s="68"/>
      <c r="JO101" s="68"/>
      <c r="JP101" s="68"/>
      <c r="JQ101" s="68"/>
      <c r="JR101" s="68"/>
      <c r="JS101" s="68"/>
      <c r="JT101" s="68"/>
      <c r="JU101" s="68"/>
      <c r="JV101" s="68"/>
      <c r="JW101" s="68"/>
      <c r="JX101" s="68"/>
      <c r="JY101" s="68"/>
      <c r="JZ101" s="68"/>
      <c r="KA101" s="68"/>
      <c r="KB101" s="68"/>
      <c r="KC101" s="68"/>
      <c r="KD101" s="68"/>
      <c r="KE101" s="68"/>
      <c r="KF101" s="68"/>
      <c r="KG101" s="68"/>
      <c r="KH101" s="68"/>
      <c r="KI101" s="68"/>
      <c r="KJ101" s="68"/>
      <c r="KK101" s="68"/>
      <c r="KL101" s="68"/>
      <c r="KM101" s="68"/>
      <c r="KN101" s="68"/>
      <c r="KO101" s="68"/>
      <c r="KP101" s="68"/>
      <c r="KQ101" s="68"/>
      <c r="KR101" s="68"/>
      <c r="KS101" s="68"/>
      <c r="KT101" s="68"/>
      <c r="KU101" s="68"/>
      <c r="KV101" s="68"/>
      <c r="KW101" s="68"/>
      <c r="KX101" s="68"/>
      <c r="KY101" s="68"/>
      <c r="KZ101" s="68"/>
      <c r="LA101" s="68"/>
      <c r="LB101" s="68"/>
      <c r="LC101" s="68"/>
      <c r="LD101" s="68"/>
      <c r="LE101" s="68"/>
      <c r="LF101" s="68"/>
      <c r="LG101" s="68"/>
      <c r="LH101" s="68"/>
      <c r="LI101" s="68"/>
      <c r="LJ101" s="68"/>
      <c r="LK101" s="68"/>
      <c r="LL101" s="68"/>
      <c r="LM101" s="68"/>
      <c r="LN101" s="68"/>
      <c r="LO101" s="68"/>
      <c r="LP101" s="68"/>
      <c r="LQ101" s="68"/>
      <c r="LR101" s="68"/>
      <c r="LS101" s="68"/>
      <c r="LT101" s="68"/>
      <c r="LU101" s="68"/>
      <c r="LV101" s="68"/>
      <c r="LW101" s="68"/>
      <c r="LX101" s="68"/>
      <c r="LY101" s="68"/>
      <c r="LZ101" s="68"/>
      <c r="MA101" s="68"/>
      <c r="MB101" s="68"/>
      <c r="MC101" s="68"/>
      <c r="MD101" s="68"/>
      <c r="ME101" s="68"/>
      <c r="MF101" s="68"/>
      <c r="MG101" s="68"/>
      <c r="MH101" s="68"/>
      <c r="MI101" s="68"/>
      <c r="MJ101" s="68"/>
      <c r="MK101" s="68"/>
      <c r="ML101" s="68"/>
      <c r="MM101" s="68"/>
      <c r="MN101" s="68"/>
      <c r="MO101" s="68"/>
      <c r="MP101" s="68"/>
      <c r="MQ101" s="68"/>
      <c r="MR101" s="68"/>
      <c r="MS101" s="68"/>
      <c r="MT101" s="68"/>
      <c r="MU101" s="68"/>
      <c r="MV101" s="68"/>
      <c r="MW101" s="68"/>
      <c r="MX101" s="68"/>
      <c r="MY101" s="68"/>
      <c r="MZ101" s="68"/>
      <c r="NA101" s="68"/>
      <c r="NB101" s="68"/>
      <c r="NC101" s="68"/>
      <c r="ND101" s="68"/>
      <c r="NE101" s="68"/>
      <c r="NF101" s="68"/>
      <c r="NG101" s="68"/>
      <c r="NH101" s="68"/>
      <c r="NI101" s="68"/>
      <c r="NJ101" s="68"/>
      <c r="NK101" s="68"/>
      <c r="NL101" s="68"/>
      <c r="NM101" s="68"/>
      <c r="NN101" s="68"/>
      <c r="NO101" s="68"/>
      <c r="NP101" s="68"/>
      <c r="NQ101" s="68"/>
      <c r="NR101" s="68"/>
      <c r="NS101" s="68"/>
      <c r="NT101" s="68"/>
      <c r="NU101" s="68"/>
      <c r="NV101" s="68"/>
      <c r="NW101" s="68"/>
      <c r="NX101" s="68"/>
      <c r="NY101" s="68"/>
      <c r="NZ101" s="68"/>
      <c r="OA101" s="68"/>
      <c r="OB101" s="68"/>
      <c r="OC101" s="68"/>
      <c r="OD101" s="68"/>
      <c r="OE101" s="68"/>
      <c r="OF101" s="68"/>
      <c r="OG101" s="68"/>
      <c r="OH101" s="68"/>
      <c r="OI101" s="68"/>
      <c r="OJ101" s="68"/>
      <c r="OK101" s="68"/>
      <c r="OL101" s="68"/>
      <c r="OM101" s="68"/>
      <c r="ON101" s="68"/>
      <c r="OO101" s="68"/>
      <c r="OP101" s="68"/>
      <c r="OQ101" s="68"/>
      <c r="OR101" s="68"/>
      <c r="OS101" s="68"/>
      <c r="OT101" s="68"/>
      <c r="OU101" s="68"/>
      <c r="OV101" s="68"/>
      <c r="OW101" s="68"/>
      <c r="OX101" s="68"/>
      <c r="OY101" s="68"/>
      <c r="OZ101" s="68"/>
      <c r="PA101" s="68"/>
      <c r="PB101" s="68"/>
      <c r="PC101" s="68"/>
      <c r="PD101" s="68"/>
      <c r="PE101" s="68"/>
      <c r="PF101" s="68"/>
      <c r="PG101" s="68"/>
      <c r="PH101" s="68"/>
      <c r="PI101" s="68"/>
      <c r="PJ101" s="68"/>
      <c r="PK101" s="68"/>
      <c r="PL101" s="68"/>
      <c r="PM101" s="68"/>
      <c r="PN101" s="68"/>
      <c r="PO101" s="68"/>
      <c r="PP101" s="68"/>
      <c r="PQ101" s="68"/>
      <c r="PR101" s="68"/>
      <c r="PS101" s="68"/>
      <c r="PT101" s="68"/>
      <c r="PU101" s="68"/>
      <c r="PV101" s="68"/>
      <c r="PW101" s="68"/>
      <c r="PX101" s="68"/>
      <c r="PY101" s="68"/>
      <c r="PZ101" s="68"/>
      <c r="QA101" s="68"/>
      <c r="QB101" s="68"/>
      <c r="QC101" s="68"/>
      <c r="QD101" s="68"/>
      <c r="QE101" s="68"/>
      <c r="QF101" s="68"/>
      <c r="QG101" s="68"/>
      <c r="QH101" s="68"/>
      <c r="QI101" s="68"/>
      <c r="QJ101" s="68"/>
      <c r="QK101" s="68"/>
      <c r="QL101" s="68"/>
      <c r="QM101" s="68"/>
      <c r="QN101" s="68"/>
      <c r="QO101" s="68"/>
      <c r="QP101" s="68"/>
      <c r="QQ101" s="68"/>
      <c r="QR101" s="68"/>
      <c r="QS101" s="68"/>
      <c r="QT101" s="68"/>
      <c r="QU101" s="68"/>
      <c r="QV101" s="68"/>
      <c r="QW101" s="68"/>
      <c r="QX101" s="68"/>
      <c r="QY101" s="68"/>
      <c r="QZ101" s="68"/>
      <c r="RA101" s="68"/>
      <c r="RB101" s="68"/>
      <c r="RC101" s="68"/>
      <c r="RD101" s="68"/>
      <c r="RE101" s="68"/>
      <c r="RF101" s="68"/>
      <c r="RG101" s="68"/>
      <c r="RH101" s="68"/>
      <c r="RI101" s="68"/>
      <c r="RJ101" s="68"/>
      <c r="RK101" s="68"/>
      <c r="RL101" s="68"/>
      <c r="RM101" s="68"/>
      <c r="RN101" s="68"/>
      <c r="RO101" s="68"/>
      <c r="RP101" s="68"/>
      <c r="RQ101" s="68"/>
      <c r="RR101" s="68"/>
      <c r="RS101" s="68"/>
      <c r="RT101" s="68"/>
      <c r="RU101" s="68"/>
      <c r="RV101" s="68"/>
      <c r="RW101" s="68"/>
      <c r="RX101" s="68"/>
      <c r="RY101" s="68"/>
      <c r="RZ101" s="68"/>
      <c r="SA101" s="68"/>
      <c r="SB101" s="68"/>
      <c r="SC101" s="68"/>
      <c r="SD101" s="68"/>
      <c r="SE101" s="68"/>
      <c r="SF101" s="68"/>
      <c r="SG101" s="68"/>
      <c r="SH101" s="68"/>
      <c r="SI101" s="68"/>
      <c r="SJ101" s="68"/>
      <c r="SK101" s="68"/>
      <c r="SL101" s="68"/>
      <c r="SM101" s="68"/>
      <c r="SN101" s="68"/>
      <c r="SO101" s="68"/>
      <c r="SP101" s="68"/>
      <c r="SQ101" s="68"/>
      <c r="SR101" s="68"/>
      <c r="SS101" s="68"/>
      <c r="ST101" s="68"/>
      <c r="SU101" s="68"/>
      <c r="SV101" s="68"/>
      <c r="SW101" s="68"/>
      <c r="SX101" s="68"/>
      <c r="SY101" s="68"/>
      <c r="SZ101" s="68"/>
      <c r="TA101" s="68"/>
      <c r="TB101" s="68"/>
      <c r="TC101" s="68"/>
      <c r="TD101" s="68"/>
      <c r="TE101" s="68"/>
      <c r="TF101" s="68"/>
      <c r="TG101" s="68"/>
      <c r="TH101" s="68"/>
      <c r="TI101" s="68"/>
      <c r="TJ101" s="68"/>
      <c r="TK101" s="68"/>
      <c r="TL101" s="68"/>
      <c r="TM101" s="68"/>
      <c r="TN101" s="68"/>
      <c r="TO101" s="68"/>
      <c r="TP101" s="68"/>
      <c r="TQ101" s="68"/>
      <c r="TR101" s="68"/>
      <c r="TS101" s="68"/>
      <c r="TT101" s="68"/>
      <c r="TU101" s="68"/>
      <c r="TV101" s="68"/>
      <c r="TW101" s="68"/>
      <c r="TX101" s="68"/>
      <c r="TY101" s="68"/>
      <c r="TZ101" s="68"/>
      <c r="UA101" s="68"/>
      <c r="UB101" s="68"/>
      <c r="UC101" s="68"/>
      <c r="UD101" s="68"/>
      <c r="UE101" s="68"/>
      <c r="UF101" s="68"/>
      <c r="UG101" s="68"/>
      <c r="UH101" s="68"/>
      <c r="UI101" s="68"/>
      <c r="UJ101" s="68"/>
      <c r="UK101" s="68"/>
      <c r="UL101" s="68"/>
      <c r="UM101" s="68"/>
      <c r="UN101" s="68"/>
      <c r="UO101" s="68"/>
      <c r="UP101" s="68"/>
      <c r="UQ101" s="68"/>
      <c r="UR101" s="68"/>
      <c r="US101" s="68"/>
      <c r="UT101" s="68"/>
      <c r="UU101" s="68"/>
      <c r="UV101" s="68"/>
      <c r="UW101" s="68"/>
      <c r="UX101" s="68"/>
      <c r="UY101" s="68"/>
      <c r="UZ101" s="68"/>
      <c r="VA101" s="68"/>
      <c r="VB101" s="68"/>
      <c r="VC101" s="68"/>
      <c r="VD101" s="68"/>
      <c r="VE101" s="68"/>
      <c r="VF101" s="68"/>
      <c r="VG101" s="68"/>
      <c r="VH101" s="68"/>
      <c r="VI101" s="68"/>
      <c r="VJ101" s="68"/>
      <c r="VK101" s="68"/>
      <c r="VL101" s="68"/>
      <c r="VM101" s="68"/>
      <c r="VN101" s="68"/>
      <c r="VO101" s="68"/>
      <c r="VP101" s="68"/>
      <c r="VQ101" s="68"/>
      <c r="VR101" s="68"/>
      <c r="VS101" s="68"/>
      <c r="VT101" s="68"/>
      <c r="VU101" s="68"/>
      <c r="VV101" s="68"/>
      <c r="VW101" s="68"/>
      <c r="VX101" s="68"/>
      <c r="VY101" s="68"/>
      <c r="VZ101" s="68"/>
      <c r="WA101" s="68"/>
      <c r="WB101" s="68"/>
      <c r="WC101" s="68"/>
      <c r="WD101" s="68"/>
      <c r="WE101" s="68"/>
      <c r="WF101" s="68"/>
      <c r="WG101" s="68"/>
      <c r="WH101" s="68"/>
      <c r="WI101" s="68"/>
      <c r="WJ101" s="68"/>
      <c r="WK101" s="68"/>
      <c r="WL101" s="68"/>
      <c r="WM101" s="68"/>
      <c r="WN101" s="68"/>
      <c r="WO101" s="68"/>
      <c r="WP101" s="68"/>
      <c r="WQ101" s="68"/>
      <c r="WR101" s="68"/>
      <c r="WS101" s="68"/>
      <c r="WT101" s="68"/>
      <c r="WU101" s="68"/>
      <c r="WV101" s="68"/>
      <c r="WW101" s="68"/>
      <c r="WX101" s="68"/>
      <c r="WY101" s="68"/>
      <c r="WZ101" s="68"/>
      <c r="XA101" s="68"/>
      <c r="XB101" s="68"/>
      <c r="XC101" s="68"/>
      <c r="XD101" s="68"/>
      <c r="XE101" s="68"/>
      <c r="XF101" s="68"/>
      <c r="XG101" s="68"/>
      <c r="XH101" s="68"/>
      <c r="XI101" s="68"/>
      <c r="XJ101" s="68"/>
      <c r="XK101" s="68"/>
      <c r="XL101" s="68"/>
      <c r="XM101" s="68"/>
      <c r="XN101" s="68"/>
      <c r="XO101" s="68"/>
      <c r="XP101" s="68"/>
      <c r="XQ101" s="68"/>
      <c r="XR101" s="68"/>
      <c r="XS101" s="68"/>
      <c r="XT101" s="68"/>
      <c r="XU101" s="68"/>
      <c r="XV101" s="68"/>
      <c r="XW101" s="68"/>
      <c r="XX101" s="68"/>
      <c r="XY101" s="68"/>
      <c r="XZ101" s="68"/>
      <c r="YA101" s="68"/>
      <c r="YB101" s="68"/>
      <c r="YC101" s="68"/>
      <c r="YD101" s="68"/>
      <c r="YE101" s="68"/>
      <c r="YF101" s="68"/>
      <c r="YG101" s="68"/>
      <c r="YH101" s="68"/>
      <c r="YI101" s="68"/>
      <c r="YJ101" s="68"/>
      <c r="YK101" s="68"/>
      <c r="YL101" s="68"/>
      <c r="YM101" s="68"/>
      <c r="YN101" s="68"/>
      <c r="YO101" s="68"/>
      <c r="YP101" s="68"/>
      <c r="YQ101" s="68"/>
      <c r="YR101" s="68"/>
      <c r="YS101" s="68"/>
      <c r="YT101" s="68"/>
      <c r="YU101" s="68"/>
      <c r="YV101" s="68"/>
      <c r="YW101" s="68"/>
      <c r="YX101" s="68"/>
      <c r="YY101" s="68"/>
      <c r="YZ101" s="68"/>
      <c r="ZA101" s="68"/>
      <c r="ZB101" s="68"/>
      <c r="ZC101" s="68"/>
      <c r="ZD101" s="68"/>
      <c r="ZE101" s="68"/>
      <c r="ZF101" s="68"/>
      <c r="ZG101" s="68"/>
      <c r="ZH101" s="68"/>
      <c r="ZI101" s="68"/>
      <c r="ZJ101" s="68"/>
      <c r="ZK101" s="68"/>
      <c r="ZL101" s="68"/>
      <c r="ZM101" s="68"/>
      <c r="ZN101" s="68"/>
      <c r="ZO101" s="68"/>
      <c r="ZP101" s="68"/>
      <c r="ZQ101" s="68"/>
      <c r="ZR101" s="68"/>
      <c r="ZS101" s="68"/>
      <c r="ZT101" s="68"/>
      <c r="ZU101" s="68"/>
      <c r="ZV101" s="68"/>
      <c r="ZW101" s="68"/>
      <c r="ZX101" s="68"/>
      <c r="ZY101" s="68"/>
      <c r="ZZ101" s="68"/>
      <c r="AAA101" s="68"/>
      <c r="AAB101" s="68"/>
      <c r="AAC101" s="68"/>
      <c r="AAD101" s="68"/>
      <c r="AAE101" s="68"/>
      <c r="AAF101" s="68"/>
      <c r="AAG101" s="68"/>
      <c r="AAH101" s="68"/>
      <c r="AAI101" s="68"/>
      <c r="AAJ101" s="68"/>
      <c r="AAK101" s="68"/>
      <c r="AAL101" s="68"/>
      <c r="AAM101" s="68"/>
      <c r="AAN101" s="68"/>
      <c r="AAO101" s="68"/>
      <c r="AAP101" s="68"/>
      <c r="AAQ101" s="68"/>
      <c r="AAR101" s="68"/>
      <c r="AAS101" s="68"/>
      <c r="AAT101" s="68"/>
      <c r="AAU101" s="68"/>
      <c r="AAV101" s="68"/>
      <c r="AAW101" s="68"/>
      <c r="AAX101" s="68"/>
      <c r="AAY101" s="68"/>
      <c r="AAZ101" s="68"/>
      <c r="ABA101" s="68"/>
      <c r="ABB101" s="68"/>
      <c r="ABC101" s="68"/>
      <c r="ABD101" s="68"/>
      <c r="ABE101" s="68"/>
      <c r="ABF101" s="68"/>
      <c r="ABG101" s="68"/>
      <c r="ABH101" s="68"/>
      <c r="ABI101" s="68"/>
      <c r="ABJ101" s="68"/>
      <c r="ABK101" s="68"/>
      <c r="ABL101" s="68"/>
      <c r="ABM101" s="68"/>
      <c r="ABN101" s="68"/>
      <c r="ABO101" s="68"/>
      <c r="ABP101" s="68"/>
      <c r="ABQ101" s="68"/>
      <c r="ABR101" s="68"/>
      <c r="ABS101" s="68"/>
      <c r="ABT101" s="68"/>
      <c r="ABU101" s="68"/>
      <c r="ABV101" s="68"/>
      <c r="ABW101" s="68"/>
      <c r="ABX101" s="68"/>
      <c r="ABY101" s="68"/>
      <c r="ABZ101" s="68"/>
      <c r="ACA101" s="68"/>
      <c r="ACB101" s="68"/>
      <c r="ACC101" s="68"/>
      <c r="ACD101" s="68"/>
      <c r="ACE101" s="68"/>
      <c r="ACF101" s="68"/>
      <c r="ACG101" s="68"/>
      <c r="ACH101" s="68"/>
      <c r="ACI101" s="68"/>
      <c r="ACJ101" s="68"/>
      <c r="ACK101" s="68"/>
      <c r="ACL101" s="68"/>
      <c r="ACM101" s="68"/>
      <c r="ACN101" s="68"/>
      <c r="ACO101" s="68"/>
      <c r="ACP101" s="68"/>
      <c r="ACQ101" s="68"/>
      <c r="ACR101" s="68"/>
      <c r="ACS101" s="68"/>
      <c r="ACT101" s="68"/>
      <c r="ACU101" s="68"/>
      <c r="ACV101" s="68"/>
      <c r="ACW101" s="68"/>
      <c r="ACX101" s="68"/>
      <c r="ACY101" s="68"/>
      <c r="ACZ101" s="68"/>
      <c r="ADA101" s="68"/>
      <c r="ADB101" s="68"/>
      <c r="ADC101" s="68"/>
      <c r="ADD101" s="68"/>
      <c r="ADE101" s="68"/>
      <c r="ADF101" s="68"/>
      <c r="ADG101" s="68"/>
      <c r="ADH101" s="68"/>
      <c r="ADI101" s="68"/>
      <c r="ADJ101" s="68"/>
      <c r="ADK101" s="68"/>
      <c r="ADL101" s="68"/>
      <c r="ADM101" s="68"/>
      <c r="ADN101" s="68"/>
      <c r="ADO101" s="68"/>
      <c r="ADP101" s="68"/>
      <c r="ADQ101" s="68"/>
      <c r="ADR101" s="68"/>
      <c r="ADS101" s="68"/>
      <c r="ADT101" s="68"/>
      <c r="ADU101" s="68"/>
      <c r="ADV101" s="68"/>
      <c r="ADW101" s="68"/>
      <c r="ADX101" s="68"/>
      <c r="ADY101" s="68"/>
      <c r="ADZ101" s="68"/>
      <c r="AEA101" s="68"/>
      <c r="AEB101" s="68"/>
      <c r="AEC101" s="68"/>
      <c r="AED101" s="68"/>
      <c r="AEE101" s="68"/>
      <c r="AEF101" s="68"/>
      <c r="AEG101" s="68"/>
      <c r="AEH101" s="68"/>
      <c r="AEI101" s="68"/>
      <c r="AEJ101" s="68"/>
      <c r="AEK101" s="68"/>
      <c r="AEL101" s="68"/>
      <c r="AEM101" s="68"/>
      <c r="AEN101" s="68"/>
      <c r="AEO101" s="68"/>
      <c r="AEP101" s="68"/>
      <c r="AEQ101" s="68"/>
      <c r="AER101" s="68"/>
      <c r="AES101" s="68"/>
      <c r="AET101" s="68"/>
      <c r="AEU101" s="68"/>
      <c r="AEV101" s="68"/>
      <c r="AEW101" s="68"/>
      <c r="AEX101" s="68"/>
      <c r="AEY101" s="68"/>
      <c r="AEZ101" s="68"/>
      <c r="AFA101" s="68"/>
      <c r="AFB101" s="68"/>
      <c r="AFC101" s="68"/>
      <c r="AFD101" s="68"/>
      <c r="AFE101" s="68"/>
      <c r="AFF101" s="68"/>
      <c r="AFG101" s="68"/>
      <c r="AFH101" s="68"/>
      <c r="AFI101" s="68"/>
      <c r="AFJ101" s="68"/>
      <c r="AFK101" s="68"/>
      <c r="AFL101" s="68"/>
      <c r="AFM101" s="68"/>
      <c r="AFN101" s="68"/>
      <c r="AFO101" s="68"/>
      <c r="AFP101" s="68"/>
      <c r="AFQ101" s="68"/>
      <c r="AFR101" s="68"/>
      <c r="AFS101" s="68"/>
      <c r="AFT101" s="68"/>
      <c r="AFU101" s="68"/>
      <c r="AFV101" s="68"/>
      <c r="AFW101" s="68"/>
      <c r="AFX101" s="68"/>
      <c r="AFY101" s="68"/>
      <c r="AFZ101" s="68"/>
      <c r="AGA101" s="68"/>
      <c r="AGB101" s="68"/>
      <c r="AGC101" s="68"/>
      <c r="AGD101" s="68"/>
      <c r="AGE101" s="68"/>
      <c r="AGF101" s="68"/>
      <c r="AGG101" s="68"/>
      <c r="AGH101" s="68"/>
      <c r="AGI101" s="68"/>
      <c r="AGJ101" s="68"/>
      <c r="AGK101" s="68"/>
      <c r="AGL101" s="68"/>
      <c r="AGM101" s="68"/>
      <c r="AGN101" s="68"/>
      <c r="AGO101" s="68"/>
      <c r="AGP101" s="68"/>
      <c r="AGQ101" s="68"/>
      <c r="AGR101" s="68"/>
      <c r="AGS101" s="68"/>
      <c r="AGT101" s="68"/>
      <c r="AGU101" s="68"/>
      <c r="AGV101" s="68"/>
      <c r="AGW101" s="68"/>
      <c r="AGX101" s="68"/>
      <c r="AGY101" s="68"/>
      <c r="AGZ101" s="68"/>
      <c r="AHA101" s="68"/>
      <c r="AHB101" s="68"/>
      <c r="AHC101" s="68"/>
      <c r="AHD101" s="68"/>
      <c r="AHE101" s="68"/>
      <c r="AHF101" s="68"/>
      <c r="AHG101" s="68"/>
      <c r="AHH101" s="68"/>
      <c r="AHI101" s="68"/>
      <c r="AHJ101" s="68"/>
      <c r="AHK101" s="68"/>
      <c r="AHL101" s="68"/>
      <c r="AHM101" s="68"/>
      <c r="AHN101" s="68"/>
      <c r="AHO101" s="68"/>
      <c r="AHP101" s="68"/>
      <c r="AHQ101" s="68"/>
      <c r="AHR101" s="68"/>
      <c r="AHS101" s="68"/>
      <c r="AHT101" s="68"/>
      <c r="AHU101" s="68"/>
      <c r="AHV101" s="68"/>
      <c r="AHW101" s="68"/>
      <c r="AHX101" s="68"/>
      <c r="AHY101" s="68"/>
      <c r="AHZ101" s="68"/>
      <c r="AIA101" s="68"/>
      <c r="AIB101" s="68"/>
      <c r="AIC101" s="68"/>
      <c r="AID101" s="68"/>
      <c r="AIE101" s="68"/>
      <c r="AIF101" s="68"/>
      <c r="AIG101" s="68"/>
      <c r="AIH101" s="68"/>
      <c r="AII101" s="68"/>
      <c r="AIJ101" s="68"/>
      <c r="AIK101" s="68"/>
      <c r="AIL101" s="68"/>
      <c r="AIM101" s="68"/>
      <c r="AIN101" s="68"/>
      <c r="AIO101" s="68"/>
      <c r="AIP101" s="68"/>
      <c r="AIQ101" s="68"/>
      <c r="AIR101" s="68"/>
      <c r="AIS101" s="68"/>
      <c r="AIT101" s="68"/>
      <c r="AIU101" s="68"/>
      <c r="AIV101" s="68"/>
      <c r="AIW101" s="68"/>
      <c r="AIX101" s="68"/>
      <c r="AIY101" s="68"/>
      <c r="AIZ101" s="68"/>
      <c r="AJA101" s="68"/>
      <c r="AJB101" s="68"/>
      <c r="AJC101" s="68"/>
    </row>
    <row r="102" spans="1:939" s="85" customFormat="1" ht="39" customHeight="1" x14ac:dyDescent="0.25">
      <c r="A102" s="433"/>
      <c r="B102" s="434"/>
      <c r="C102" s="434"/>
      <c r="D102" s="438" t="s">
        <v>26</v>
      </c>
      <c r="E102" s="438"/>
      <c r="F102" s="438"/>
      <c r="G102" s="438"/>
      <c r="H102" s="438"/>
      <c r="I102" s="438"/>
      <c r="J102" s="438"/>
      <c r="K102" s="438"/>
      <c r="L102" s="438"/>
      <c r="M102" s="86"/>
      <c r="N102" s="87">
        <f>SUMIF($M$73:$M$99,D102,$N$73:$N$99)</f>
        <v>32967799.48</v>
      </c>
      <c r="O102" s="87">
        <f>SUM(O73:O99)</f>
        <v>129632337.90288593</v>
      </c>
      <c r="P102" s="88">
        <f>SUMIF($M$73:$M$99,D102,$P$73:$P$99)</f>
        <v>29785034.550000001</v>
      </c>
      <c r="Q102" s="87"/>
      <c r="R102" s="88">
        <f>SUMIF($M$73:$M$99,D102,$R$73:$R$99)</f>
        <v>9124019.0181556828</v>
      </c>
      <c r="S102" s="88">
        <f>SUMIF($M$73:$M$99,D102,$S$73:$S$99)</f>
        <v>6040280.8674282767</v>
      </c>
      <c r="T102" s="87">
        <f>SUMIF($M$73:$M$99,D102,$T$73:$T$99)</f>
        <v>21244851.665618334</v>
      </c>
      <c r="U102" s="87">
        <f>SUM(U73:U99)</f>
        <v>87031008.811674029</v>
      </c>
      <c r="V102" s="89"/>
      <c r="W102" s="90"/>
      <c r="X102" s="47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  <c r="BQ102" s="68"/>
      <c r="BR102" s="68"/>
      <c r="BS102" s="68"/>
      <c r="BT102" s="68"/>
      <c r="BU102" s="68"/>
      <c r="BV102" s="68"/>
      <c r="BW102" s="68"/>
      <c r="BX102" s="68"/>
      <c r="BY102" s="68"/>
      <c r="BZ102" s="68"/>
      <c r="CA102" s="68"/>
      <c r="CB102" s="68"/>
      <c r="CC102" s="68"/>
      <c r="CD102" s="68"/>
      <c r="CE102" s="68"/>
      <c r="CF102" s="68"/>
      <c r="CG102" s="68"/>
      <c r="CH102" s="68"/>
      <c r="CI102" s="68"/>
      <c r="CJ102" s="68"/>
      <c r="CK102" s="68"/>
      <c r="CL102" s="68"/>
      <c r="CM102" s="68"/>
      <c r="CN102" s="68"/>
      <c r="CO102" s="68"/>
      <c r="CP102" s="68"/>
      <c r="CQ102" s="68"/>
      <c r="CR102" s="68"/>
      <c r="CS102" s="68"/>
      <c r="CT102" s="68"/>
      <c r="CU102" s="68"/>
      <c r="CV102" s="68"/>
      <c r="CW102" s="68"/>
      <c r="CX102" s="68"/>
      <c r="CY102" s="68"/>
      <c r="CZ102" s="68"/>
      <c r="DA102" s="68"/>
      <c r="DB102" s="68"/>
      <c r="DC102" s="68"/>
      <c r="DD102" s="68"/>
      <c r="DE102" s="68"/>
      <c r="DF102" s="68"/>
      <c r="DG102" s="68"/>
      <c r="DH102" s="68"/>
      <c r="DI102" s="68"/>
      <c r="DJ102" s="68"/>
      <c r="DK102" s="68"/>
      <c r="DL102" s="68"/>
      <c r="DM102" s="68"/>
      <c r="DN102" s="68"/>
      <c r="DO102" s="68"/>
      <c r="DP102" s="68"/>
      <c r="DQ102" s="68"/>
      <c r="DR102" s="68"/>
      <c r="DS102" s="68"/>
      <c r="DT102" s="68"/>
      <c r="DU102" s="68"/>
      <c r="DV102" s="68"/>
      <c r="DW102" s="68"/>
      <c r="DX102" s="68"/>
      <c r="DY102" s="68"/>
      <c r="DZ102" s="68"/>
      <c r="EA102" s="68"/>
      <c r="EB102" s="68"/>
      <c r="EC102" s="68"/>
      <c r="ED102" s="68"/>
      <c r="EE102" s="68"/>
      <c r="EF102" s="68"/>
      <c r="EG102" s="68"/>
      <c r="EH102" s="68"/>
      <c r="EI102" s="68"/>
      <c r="EJ102" s="68"/>
      <c r="EK102" s="68"/>
      <c r="EL102" s="68"/>
      <c r="EM102" s="68"/>
      <c r="EN102" s="68"/>
      <c r="EO102" s="68"/>
      <c r="EP102" s="68"/>
      <c r="EQ102" s="68"/>
      <c r="ER102" s="68"/>
      <c r="ES102" s="68"/>
      <c r="ET102" s="68"/>
      <c r="EU102" s="68"/>
      <c r="EV102" s="68"/>
      <c r="EW102" s="68"/>
      <c r="EX102" s="68"/>
      <c r="EY102" s="68"/>
      <c r="EZ102" s="68"/>
      <c r="FA102" s="68"/>
      <c r="FB102" s="68"/>
      <c r="FC102" s="68"/>
      <c r="FD102" s="68"/>
      <c r="FE102" s="68"/>
      <c r="FF102" s="68"/>
      <c r="FG102" s="68"/>
      <c r="FH102" s="68"/>
      <c r="FI102" s="68"/>
      <c r="FJ102" s="68"/>
      <c r="FK102" s="68"/>
      <c r="FL102" s="68"/>
      <c r="FM102" s="68"/>
      <c r="FN102" s="68"/>
      <c r="FO102" s="68"/>
      <c r="FP102" s="68"/>
      <c r="FQ102" s="68"/>
      <c r="FR102" s="68"/>
      <c r="FS102" s="68"/>
      <c r="FT102" s="68"/>
      <c r="FU102" s="68"/>
      <c r="FV102" s="68"/>
      <c r="FW102" s="68"/>
      <c r="FX102" s="68"/>
      <c r="FY102" s="68"/>
      <c r="FZ102" s="68"/>
      <c r="GA102" s="68"/>
      <c r="GB102" s="68"/>
      <c r="GC102" s="68"/>
      <c r="GD102" s="68"/>
      <c r="GE102" s="68"/>
      <c r="GF102" s="68"/>
      <c r="GG102" s="68"/>
      <c r="GH102" s="68"/>
      <c r="GI102" s="68"/>
      <c r="GJ102" s="68"/>
      <c r="GK102" s="68"/>
      <c r="GL102" s="68"/>
      <c r="GM102" s="68"/>
      <c r="GN102" s="68"/>
      <c r="GO102" s="68"/>
      <c r="GP102" s="68"/>
      <c r="GQ102" s="68"/>
      <c r="GR102" s="68"/>
      <c r="GS102" s="68"/>
      <c r="GT102" s="68"/>
      <c r="GU102" s="68"/>
      <c r="GV102" s="68"/>
      <c r="GW102" s="68"/>
      <c r="GX102" s="68"/>
      <c r="GY102" s="68"/>
      <c r="GZ102" s="68"/>
      <c r="HA102" s="68"/>
      <c r="HB102" s="68"/>
      <c r="HC102" s="68"/>
      <c r="HD102" s="68"/>
      <c r="HE102" s="68"/>
      <c r="HF102" s="68"/>
      <c r="HG102" s="68"/>
      <c r="HH102" s="68"/>
      <c r="HI102" s="68"/>
      <c r="HJ102" s="68"/>
      <c r="HK102" s="68"/>
      <c r="HL102" s="68"/>
      <c r="HM102" s="68"/>
      <c r="HN102" s="68"/>
      <c r="HO102" s="68"/>
      <c r="HP102" s="68"/>
      <c r="HQ102" s="68"/>
      <c r="HR102" s="68"/>
      <c r="HS102" s="68"/>
      <c r="HT102" s="68"/>
      <c r="HU102" s="68"/>
      <c r="HV102" s="68"/>
      <c r="HW102" s="68"/>
      <c r="HX102" s="68"/>
      <c r="HY102" s="68"/>
      <c r="HZ102" s="68"/>
      <c r="IA102" s="68"/>
      <c r="IB102" s="68"/>
      <c r="IC102" s="68"/>
      <c r="ID102" s="68"/>
      <c r="IE102" s="68"/>
      <c r="IF102" s="68"/>
      <c r="IG102" s="68"/>
      <c r="IH102" s="68"/>
      <c r="II102" s="68"/>
      <c r="IJ102" s="68"/>
      <c r="IK102" s="68"/>
      <c r="IL102" s="68"/>
      <c r="IM102" s="68"/>
      <c r="IN102" s="68"/>
      <c r="IO102" s="68"/>
      <c r="IP102" s="68"/>
      <c r="IQ102" s="68"/>
      <c r="IR102" s="68"/>
      <c r="IS102" s="68"/>
      <c r="IT102" s="68"/>
      <c r="IU102" s="68"/>
      <c r="IV102" s="68"/>
      <c r="IW102" s="68"/>
      <c r="IX102" s="68"/>
      <c r="IY102" s="68"/>
      <c r="IZ102" s="68"/>
      <c r="JA102" s="68"/>
      <c r="JB102" s="68"/>
      <c r="JC102" s="68"/>
      <c r="JD102" s="68"/>
      <c r="JE102" s="68"/>
      <c r="JF102" s="68"/>
      <c r="JG102" s="68"/>
      <c r="JH102" s="68"/>
      <c r="JI102" s="68"/>
      <c r="JJ102" s="68"/>
      <c r="JK102" s="68"/>
      <c r="JL102" s="68"/>
      <c r="JM102" s="68"/>
      <c r="JN102" s="68"/>
      <c r="JO102" s="68"/>
      <c r="JP102" s="68"/>
      <c r="JQ102" s="68"/>
      <c r="JR102" s="68"/>
      <c r="JS102" s="68"/>
      <c r="JT102" s="68"/>
      <c r="JU102" s="68"/>
      <c r="JV102" s="68"/>
      <c r="JW102" s="68"/>
      <c r="JX102" s="68"/>
      <c r="JY102" s="68"/>
      <c r="JZ102" s="68"/>
      <c r="KA102" s="68"/>
      <c r="KB102" s="68"/>
      <c r="KC102" s="68"/>
      <c r="KD102" s="68"/>
      <c r="KE102" s="68"/>
      <c r="KF102" s="68"/>
      <c r="KG102" s="68"/>
      <c r="KH102" s="68"/>
      <c r="KI102" s="68"/>
      <c r="KJ102" s="68"/>
      <c r="KK102" s="68"/>
      <c r="KL102" s="68"/>
      <c r="KM102" s="68"/>
      <c r="KN102" s="68"/>
      <c r="KO102" s="68"/>
      <c r="KP102" s="68"/>
      <c r="KQ102" s="68"/>
      <c r="KR102" s="68"/>
      <c r="KS102" s="68"/>
      <c r="KT102" s="68"/>
      <c r="KU102" s="68"/>
      <c r="KV102" s="68"/>
      <c r="KW102" s="68"/>
      <c r="KX102" s="68"/>
      <c r="KY102" s="68"/>
      <c r="KZ102" s="68"/>
      <c r="LA102" s="68"/>
      <c r="LB102" s="68"/>
      <c r="LC102" s="68"/>
      <c r="LD102" s="68"/>
      <c r="LE102" s="68"/>
      <c r="LF102" s="68"/>
      <c r="LG102" s="68"/>
      <c r="LH102" s="68"/>
      <c r="LI102" s="68"/>
      <c r="LJ102" s="68"/>
      <c r="LK102" s="68"/>
      <c r="LL102" s="68"/>
      <c r="LM102" s="68"/>
      <c r="LN102" s="68"/>
      <c r="LO102" s="68"/>
      <c r="LP102" s="68"/>
      <c r="LQ102" s="68"/>
      <c r="LR102" s="68"/>
      <c r="LS102" s="68"/>
      <c r="LT102" s="68"/>
      <c r="LU102" s="68"/>
      <c r="LV102" s="68"/>
      <c r="LW102" s="68"/>
      <c r="LX102" s="68"/>
      <c r="LY102" s="68"/>
      <c r="LZ102" s="68"/>
      <c r="MA102" s="68"/>
      <c r="MB102" s="68"/>
      <c r="MC102" s="68"/>
      <c r="MD102" s="68"/>
      <c r="ME102" s="68"/>
      <c r="MF102" s="68"/>
      <c r="MG102" s="68"/>
      <c r="MH102" s="68"/>
      <c r="MI102" s="68"/>
      <c r="MJ102" s="68"/>
      <c r="MK102" s="68"/>
      <c r="ML102" s="68"/>
      <c r="MM102" s="68"/>
      <c r="MN102" s="68"/>
      <c r="MO102" s="68"/>
      <c r="MP102" s="68"/>
      <c r="MQ102" s="68"/>
      <c r="MR102" s="68"/>
      <c r="MS102" s="68"/>
      <c r="MT102" s="68"/>
      <c r="MU102" s="68"/>
      <c r="MV102" s="68"/>
      <c r="MW102" s="68"/>
      <c r="MX102" s="68"/>
      <c r="MY102" s="68"/>
      <c r="MZ102" s="68"/>
      <c r="NA102" s="68"/>
      <c r="NB102" s="68"/>
      <c r="NC102" s="68"/>
      <c r="ND102" s="68"/>
      <c r="NE102" s="68"/>
      <c r="NF102" s="68"/>
      <c r="NG102" s="68"/>
      <c r="NH102" s="68"/>
      <c r="NI102" s="68"/>
      <c r="NJ102" s="68"/>
      <c r="NK102" s="68"/>
      <c r="NL102" s="68"/>
      <c r="NM102" s="68"/>
      <c r="NN102" s="68"/>
      <c r="NO102" s="68"/>
      <c r="NP102" s="68"/>
      <c r="NQ102" s="68"/>
      <c r="NR102" s="68"/>
      <c r="NS102" s="68"/>
      <c r="NT102" s="68"/>
      <c r="NU102" s="68"/>
      <c r="NV102" s="68"/>
      <c r="NW102" s="68"/>
      <c r="NX102" s="68"/>
      <c r="NY102" s="68"/>
      <c r="NZ102" s="68"/>
      <c r="OA102" s="68"/>
      <c r="OB102" s="68"/>
      <c r="OC102" s="68"/>
      <c r="OD102" s="68"/>
      <c r="OE102" s="68"/>
      <c r="OF102" s="68"/>
      <c r="OG102" s="68"/>
      <c r="OH102" s="68"/>
      <c r="OI102" s="68"/>
      <c r="OJ102" s="68"/>
      <c r="OK102" s="68"/>
      <c r="OL102" s="68"/>
      <c r="OM102" s="68"/>
      <c r="ON102" s="68"/>
      <c r="OO102" s="68"/>
      <c r="OP102" s="68"/>
      <c r="OQ102" s="68"/>
      <c r="OR102" s="68"/>
      <c r="OS102" s="68"/>
      <c r="OT102" s="68"/>
      <c r="OU102" s="68"/>
      <c r="OV102" s="68"/>
      <c r="OW102" s="68"/>
      <c r="OX102" s="68"/>
      <c r="OY102" s="68"/>
      <c r="OZ102" s="68"/>
      <c r="PA102" s="68"/>
      <c r="PB102" s="68"/>
      <c r="PC102" s="68"/>
      <c r="PD102" s="68"/>
      <c r="PE102" s="68"/>
      <c r="PF102" s="68"/>
      <c r="PG102" s="68"/>
      <c r="PH102" s="68"/>
      <c r="PI102" s="68"/>
      <c r="PJ102" s="68"/>
      <c r="PK102" s="68"/>
      <c r="PL102" s="68"/>
      <c r="PM102" s="68"/>
      <c r="PN102" s="68"/>
      <c r="PO102" s="68"/>
      <c r="PP102" s="68"/>
      <c r="PQ102" s="68"/>
      <c r="PR102" s="68"/>
      <c r="PS102" s="68"/>
      <c r="PT102" s="68"/>
      <c r="PU102" s="68"/>
      <c r="PV102" s="68"/>
      <c r="PW102" s="68"/>
      <c r="PX102" s="68"/>
      <c r="PY102" s="68"/>
      <c r="PZ102" s="68"/>
      <c r="QA102" s="68"/>
      <c r="QB102" s="68"/>
      <c r="QC102" s="68"/>
      <c r="QD102" s="68"/>
      <c r="QE102" s="68"/>
      <c r="QF102" s="68"/>
      <c r="QG102" s="68"/>
      <c r="QH102" s="68"/>
      <c r="QI102" s="68"/>
      <c r="QJ102" s="68"/>
      <c r="QK102" s="68"/>
      <c r="QL102" s="68"/>
      <c r="QM102" s="68"/>
      <c r="QN102" s="68"/>
      <c r="QO102" s="68"/>
      <c r="QP102" s="68"/>
      <c r="QQ102" s="68"/>
      <c r="QR102" s="68"/>
      <c r="QS102" s="68"/>
      <c r="QT102" s="68"/>
      <c r="QU102" s="68"/>
      <c r="QV102" s="68"/>
      <c r="QW102" s="68"/>
      <c r="QX102" s="68"/>
      <c r="QY102" s="68"/>
      <c r="QZ102" s="68"/>
      <c r="RA102" s="68"/>
      <c r="RB102" s="68"/>
      <c r="RC102" s="68"/>
      <c r="RD102" s="68"/>
      <c r="RE102" s="68"/>
      <c r="RF102" s="68"/>
      <c r="RG102" s="68"/>
      <c r="RH102" s="68"/>
      <c r="RI102" s="68"/>
      <c r="RJ102" s="68"/>
      <c r="RK102" s="68"/>
      <c r="RL102" s="68"/>
      <c r="RM102" s="68"/>
      <c r="RN102" s="68"/>
      <c r="RO102" s="68"/>
      <c r="RP102" s="68"/>
      <c r="RQ102" s="68"/>
      <c r="RR102" s="68"/>
      <c r="RS102" s="68"/>
      <c r="RT102" s="68"/>
      <c r="RU102" s="68"/>
      <c r="RV102" s="68"/>
      <c r="RW102" s="68"/>
      <c r="RX102" s="68"/>
      <c r="RY102" s="68"/>
      <c r="RZ102" s="68"/>
      <c r="SA102" s="68"/>
      <c r="SB102" s="68"/>
      <c r="SC102" s="68"/>
      <c r="SD102" s="68"/>
      <c r="SE102" s="68"/>
      <c r="SF102" s="68"/>
      <c r="SG102" s="68"/>
      <c r="SH102" s="68"/>
      <c r="SI102" s="68"/>
      <c r="SJ102" s="68"/>
      <c r="SK102" s="68"/>
      <c r="SL102" s="68"/>
      <c r="SM102" s="68"/>
      <c r="SN102" s="68"/>
      <c r="SO102" s="68"/>
      <c r="SP102" s="68"/>
      <c r="SQ102" s="68"/>
      <c r="SR102" s="68"/>
      <c r="SS102" s="68"/>
      <c r="ST102" s="68"/>
      <c r="SU102" s="68"/>
      <c r="SV102" s="68"/>
      <c r="SW102" s="68"/>
      <c r="SX102" s="68"/>
      <c r="SY102" s="68"/>
      <c r="SZ102" s="68"/>
      <c r="TA102" s="68"/>
      <c r="TB102" s="68"/>
      <c r="TC102" s="68"/>
      <c r="TD102" s="68"/>
      <c r="TE102" s="68"/>
      <c r="TF102" s="68"/>
      <c r="TG102" s="68"/>
      <c r="TH102" s="68"/>
      <c r="TI102" s="68"/>
      <c r="TJ102" s="68"/>
      <c r="TK102" s="68"/>
      <c r="TL102" s="68"/>
      <c r="TM102" s="68"/>
      <c r="TN102" s="68"/>
      <c r="TO102" s="68"/>
      <c r="TP102" s="68"/>
      <c r="TQ102" s="68"/>
      <c r="TR102" s="68"/>
      <c r="TS102" s="68"/>
      <c r="TT102" s="68"/>
      <c r="TU102" s="68"/>
      <c r="TV102" s="68"/>
      <c r="TW102" s="68"/>
      <c r="TX102" s="68"/>
      <c r="TY102" s="68"/>
      <c r="TZ102" s="68"/>
      <c r="UA102" s="68"/>
      <c r="UB102" s="68"/>
      <c r="UC102" s="68"/>
      <c r="UD102" s="68"/>
      <c r="UE102" s="68"/>
      <c r="UF102" s="68"/>
      <c r="UG102" s="68"/>
      <c r="UH102" s="68"/>
      <c r="UI102" s="68"/>
      <c r="UJ102" s="68"/>
      <c r="UK102" s="68"/>
      <c r="UL102" s="68"/>
      <c r="UM102" s="68"/>
      <c r="UN102" s="68"/>
      <c r="UO102" s="68"/>
      <c r="UP102" s="68"/>
      <c r="UQ102" s="68"/>
      <c r="UR102" s="68"/>
      <c r="US102" s="68"/>
      <c r="UT102" s="68"/>
      <c r="UU102" s="68"/>
      <c r="UV102" s="68"/>
      <c r="UW102" s="68"/>
      <c r="UX102" s="68"/>
      <c r="UY102" s="68"/>
      <c r="UZ102" s="68"/>
      <c r="VA102" s="68"/>
      <c r="VB102" s="68"/>
      <c r="VC102" s="68"/>
      <c r="VD102" s="68"/>
      <c r="VE102" s="68"/>
      <c r="VF102" s="68"/>
      <c r="VG102" s="68"/>
      <c r="VH102" s="68"/>
      <c r="VI102" s="68"/>
      <c r="VJ102" s="68"/>
      <c r="VK102" s="68"/>
      <c r="VL102" s="68"/>
      <c r="VM102" s="68"/>
      <c r="VN102" s="68"/>
      <c r="VO102" s="68"/>
      <c r="VP102" s="68"/>
      <c r="VQ102" s="68"/>
      <c r="VR102" s="68"/>
      <c r="VS102" s="68"/>
      <c r="VT102" s="68"/>
      <c r="VU102" s="68"/>
      <c r="VV102" s="68"/>
      <c r="VW102" s="68"/>
      <c r="VX102" s="68"/>
      <c r="VY102" s="68"/>
      <c r="VZ102" s="68"/>
      <c r="WA102" s="68"/>
      <c r="WB102" s="68"/>
      <c r="WC102" s="68"/>
      <c r="WD102" s="68"/>
      <c r="WE102" s="68"/>
      <c r="WF102" s="68"/>
      <c r="WG102" s="68"/>
      <c r="WH102" s="68"/>
      <c r="WI102" s="68"/>
      <c r="WJ102" s="68"/>
      <c r="WK102" s="68"/>
      <c r="WL102" s="68"/>
      <c r="WM102" s="68"/>
      <c r="WN102" s="68"/>
      <c r="WO102" s="68"/>
      <c r="WP102" s="68"/>
      <c r="WQ102" s="68"/>
      <c r="WR102" s="68"/>
      <c r="WS102" s="68"/>
      <c r="WT102" s="68"/>
      <c r="WU102" s="68"/>
      <c r="WV102" s="68"/>
      <c r="WW102" s="68"/>
      <c r="WX102" s="68"/>
      <c r="WY102" s="68"/>
      <c r="WZ102" s="68"/>
      <c r="XA102" s="68"/>
      <c r="XB102" s="68"/>
      <c r="XC102" s="68"/>
      <c r="XD102" s="68"/>
      <c r="XE102" s="68"/>
      <c r="XF102" s="68"/>
      <c r="XG102" s="68"/>
      <c r="XH102" s="68"/>
      <c r="XI102" s="68"/>
      <c r="XJ102" s="68"/>
      <c r="XK102" s="68"/>
      <c r="XL102" s="68"/>
      <c r="XM102" s="68"/>
      <c r="XN102" s="68"/>
      <c r="XO102" s="68"/>
      <c r="XP102" s="68"/>
      <c r="XQ102" s="68"/>
      <c r="XR102" s="68"/>
      <c r="XS102" s="68"/>
      <c r="XT102" s="68"/>
      <c r="XU102" s="68"/>
      <c r="XV102" s="68"/>
      <c r="XW102" s="68"/>
      <c r="XX102" s="68"/>
      <c r="XY102" s="68"/>
      <c r="XZ102" s="68"/>
      <c r="YA102" s="68"/>
      <c r="YB102" s="68"/>
      <c r="YC102" s="68"/>
      <c r="YD102" s="68"/>
      <c r="YE102" s="68"/>
      <c r="YF102" s="68"/>
      <c r="YG102" s="68"/>
      <c r="YH102" s="68"/>
      <c r="YI102" s="68"/>
      <c r="YJ102" s="68"/>
      <c r="YK102" s="68"/>
      <c r="YL102" s="68"/>
      <c r="YM102" s="68"/>
      <c r="YN102" s="68"/>
      <c r="YO102" s="68"/>
      <c r="YP102" s="68"/>
      <c r="YQ102" s="68"/>
      <c r="YR102" s="68"/>
      <c r="YS102" s="68"/>
      <c r="YT102" s="68"/>
      <c r="YU102" s="68"/>
      <c r="YV102" s="68"/>
      <c r="YW102" s="68"/>
      <c r="YX102" s="68"/>
      <c r="YY102" s="68"/>
      <c r="YZ102" s="68"/>
      <c r="ZA102" s="68"/>
      <c r="ZB102" s="68"/>
      <c r="ZC102" s="68"/>
      <c r="ZD102" s="68"/>
      <c r="ZE102" s="68"/>
      <c r="ZF102" s="68"/>
      <c r="ZG102" s="68"/>
      <c r="ZH102" s="68"/>
      <c r="ZI102" s="68"/>
      <c r="ZJ102" s="68"/>
      <c r="ZK102" s="68"/>
      <c r="ZL102" s="68"/>
      <c r="ZM102" s="68"/>
      <c r="ZN102" s="68"/>
      <c r="ZO102" s="68"/>
      <c r="ZP102" s="68"/>
      <c r="ZQ102" s="68"/>
      <c r="ZR102" s="68"/>
      <c r="ZS102" s="68"/>
      <c r="ZT102" s="68"/>
      <c r="ZU102" s="68"/>
      <c r="ZV102" s="68"/>
      <c r="ZW102" s="68"/>
      <c r="ZX102" s="68"/>
      <c r="ZY102" s="68"/>
      <c r="ZZ102" s="68"/>
      <c r="AAA102" s="68"/>
      <c r="AAB102" s="68"/>
      <c r="AAC102" s="68"/>
      <c r="AAD102" s="68"/>
      <c r="AAE102" s="68"/>
      <c r="AAF102" s="68"/>
      <c r="AAG102" s="68"/>
      <c r="AAH102" s="68"/>
      <c r="AAI102" s="68"/>
      <c r="AAJ102" s="68"/>
      <c r="AAK102" s="68"/>
      <c r="AAL102" s="68"/>
      <c r="AAM102" s="68"/>
      <c r="AAN102" s="68"/>
      <c r="AAO102" s="68"/>
      <c r="AAP102" s="68"/>
      <c r="AAQ102" s="68"/>
      <c r="AAR102" s="68"/>
      <c r="AAS102" s="68"/>
      <c r="AAT102" s="68"/>
      <c r="AAU102" s="68"/>
      <c r="AAV102" s="68"/>
      <c r="AAW102" s="68"/>
      <c r="AAX102" s="68"/>
      <c r="AAY102" s="68"/>
      <c r="AAZ102" s="68"/>
      <c r="ABA102" s="68"/>
      <c r="ABB102" s="68"/>
      <c r="ABC102" s="68"/>
      <c r="ABD102" s="68"/>
      <c r="ABE102" s="68"/>
      <c r="ABF102" s="68"/>
      <c r="ABG102" s="68"/>
      <c r="ABH102" s="68"/>
      <c r="ABI102" s="68"/>
      <c r="ABJ102" s="68"/>
      <c r="ABK102" s="68"/>
      <c r="ABL102" s="68"/>
      <c r="ABM102" s="68"/>
      <c r="ABN102" s="68"/>
      <c r="ABO102" s="68"/>
      <c r="ABP102" s="68"/>
      <c r="ABQ102" s="68"/>
      <c r="ABR102" s="68"/>
      <c r="ABS102" s="68"/>
      <c r="ABT102" s="68"/>
      <c r="ABU102" s="68"/>
      <c r="ABV102" s="68"/>
      <c r="ABW102" s="68"/>
      <c r="ABX102" s="68"/>
      <c r="ABY102" s="68"/>
      <c r="ABZ102" s="68"/>
      <c r="ACA102" s="68"/>
      <c r="ACB102" s="68"/>
      <c r="ACC102" s="68"/>
      <c r="ACD102" s="68"/>
      <c r="ACE102" s="68"/>
      <c r="ACF102" s="68"/>
      <c r="ACG102" s="68"/>
      <c r="ACH102" s="68"/>
      <c r="ACI102" s="68"/>
      <c r="ACJ102" s="68"/>
      <c r="ACK102" s="68"/>
      <c r="ACL102" s="68"/>
      <c r="ACM102" s="68"/>
      <c r="ACN102" s="68"/>
      <c r="ACO102" s="68"/>
      <c r="ACP102" s="68"/>
      <c r="ACQ102" s="68"/>
      <c r="ACR102" s="68"/>
      <c r="ACS102" s="68"/>
      <c r="ACT102" s="68"/>
      <c r="ACU102" s="68"/>
      <c r="ACV102" s="68"/>
      <c r="ACW102" s="68"/>
      <c r="ACX102" s="68"/>
      <c r="ACY102" s="68"/>
      <c r="ACZ102" s="68"/>
      <c r="ADA102" s="68"/>
      <c r="ADB102" s="68"/>
      <c r="ADC102" s="68"/>
      <c r="ADD102" s="68"/>
      <c r="ADE102" s="68"/>
      <c r="ADF102" s="68"/>
      <c r="ADG102" s="68"/>
      <c r="ADH102" s="68"/>
      <c r="ADI102" s="68"/>
      <c r="ADJ102" s="68"/>
      <c r="ADK102" s="68"/>
      <c r="ADL102" s="68"/>
      <c r="ADM102" s="68"/>
      <c r="ADN102" s="68"/>
      <c r="ADO102" s="68"/>
      <c r="ADP102" s="68"/>
      <c r="ADQ102" s="68"/>
      <c r="ADR102" s="68"/>
      <c r="ADS102" s="68"/>
      <c r="ADT102" s="68"/>
      <c r="ADU102" s="68"/>
      <c r="ADV102" s="68"/>
      <c r="ADW102" s="68"/>
      <c r="ADX102" s="68"/>
      <c r="ADY102" s="68"/>
      <c r="ADZ102" s="68"/>
      <c r="AEA102" s="68"/>
      <c r="AEB102" s="68"/>
      <c r="AEC102" s="68"/>
      <c r="AED102" s="68"/>
      <c r="AEE102" s="68"/>
      <c r="AEF102" s="68"/>
      <c r="AEG102" s="68"/>
      <c r="AEH102" s="68"/>
      <c r="AEI102" s="68"/>
      <c r="AEJ102" s="68"/>
      <c r="AEK102" s="68"/>
      <c r="AEL102" s="68"/>
      <c r="AEM102" s="68"/>
      <c r="AEN102" s="68"/>
      <c r="AEO102" s="68"/>
      <c r="AEP102" s="68"/>
      <c r="AEQ102" s="68"/>
      <c r="AER102" s="68"/>
      <c r="AES102" s="68"/>
      <c r="AET102" s="68"/>
      <c r="AEU102" s="68"/>
      <c r="AEV102" s="68"/>
      <c r="AEW102" s="68"/>
      <c r="AEX102" s="68"/>
      <c r="AEY102" s="68"/>
      <c r="AEZ102" s="68"/>
      <c r="AFA102" s="68"/>
      <c r="AFB102" s="68"/>
      <c r="AFC102" s="68"/>
      <c r="AFD102" s="68"/>
      <c r="AFE102" s="68"/>
      <c r="AFF102" s="68"/>
      <c r="AFG102" s="68"/>
      <c r="AFH102" s="68"/>
      <c r="AFI102" s="68"/>
      <c r="AFJ102" s="68"/>
      <c r="AFK102" s="68"/>
      <c r="AFL102" s="68"/>
      <c r="AFM102" s="68"/>
      <c r="AFN102" s="68"/>
      <c r="AFO102" s="68"/>
      <c r="AFP102" s="68"/>
      <c r="AFQ102" s="68"/>
      <c r="AFR102" s="68"/>
      <c r="AFS102" s="68"/>
      <c r="AFT102" s="68"/>
      <c r="AFU102" s="68"/>
      <c r="AFV102" s="68"/>
      <c r="AFW102" s="68"/>
      <c r="AFX102" s="68"/>
      <c r="AFY102" s="68"/>
      <c r="AFZ102" s="68"/>
      <c r="AGA102" s="68"/>
      <c r="AGB102" s="68"/>
      <c r="AGC102" s="68"/>
      <c r="AGD102" s="68"/>
      <c r="AGE102" s="68"/>
      <c r="AGF102" s="68"/>
      <c r="AGG102" s="68"/>
      <c r="AGH102" s="68"/>
      <c r="AGI102" s="68"/>
      <c r="AGJ102" s="68"/>
      <c r="AGK102" s="68"/>
      <c r="AGL102" s="68"/>
      <c r="AGM102" s="68"/>
      <c r="AGN102" s="68"/>
      <c r="AGO102" s="68"/>
      <c r="AGP102" s="68"/>
      <c r="AGQ102" s="68"/>
      <c r="AGR102" s="68"/>
      <c r="AGS102" s="68"/>
      <c r="AGT102" s="68"/>
      <c r="AGU102" s="68"/>
      <c r="AGV102" s="68"/>
      <c r="AGW102" s="68"/>
      <c r="AGX102" s="68"/>
      <c r="AGY102" s="68"/>
      <c r="AGZ102" s="68"/>
      <c r="AHA102" s="68"/>
      <c r="AHB102" s="68"/>
      <c r="AHC102" s="68"/>
      <c r="AHD102" s="68"/>
      <c r="AHE102" s="68"/>
      <c r="AHF102" s="68"/>
      <c r="AHG102" s="68"/>
      <c r="AHH102" s="68"/>
      <c r="AHI102" s="68"/>
      <c r="AHJ102" s="68"/>
      <c r="AHK102" s="68"/>
      <c r="AHL102" s="68"/>
      <c r="AHM102" s="68"/>
      <c r="AHN102" s="68"/>
      <c r="AHO102" s="68"/>
      <c r="AHP102" s="68"/>
      <c r="AHQ102" s="68"/>
      <c r="AHR102" s="68"/>
      <c r="AHS102" s="68"/>
      <c r="AHT102" s="68"/>
      <c r="AHU102" s="68"/>
      <c r="AHV102" s="68"/>
      <c r="AHW102" s="68"/>
      <c r="AHX102" s="68"/>
      <c r="AHY102" s="68"/>
      <c r="AHZ102" s="68"/>
      <c r="AIA102" s="68"/>
      <c r="AIB102" s="68"/>
      <c r="AIC102" s="68"/>
      <c r="AID102" s="68"/>
      <c r="AIE102" s="68"/>
      <c r="AIF102" s="68"/>
      <c r="AIG102" s="68"/>
      <c r="AIH102" s="68"/>
      <c r="AII102" s="68"/>
      <c r="AIJ102" s="68"/>
      <c r="AIK102" s="68"/>
      <c r="AIL102" s="68"/>
      <c r="AIM102" s="68"/>
      <c r="AIN102" s="68"/>
      <c r="AIO102" s="68"/>
      <c r="AIP102" s="68"/>
      <c r="AIQ102" s="68"/>
      <c r="AIR102" s="68"/>
      <c r="AIS102" s="68"/>
      <c r="AIT102" s="68"/>
      <c r="AIU102" s="68"/>
      <c r="AIV102" s="68"/>
      <c r="AIW102" s="68"/>
      <c r="AIX102" s="68"/>
      <c r="AIY102" s="68"/>
      <c r="AIZ102" s="68"/>
      <c r="AJA102" s="68"/>
      <c r="AJB102" s="68"/>
      <c r="AJC102" s="68"/>
    </row>
    <row r="103" spans="1:939" s="85" customFormat="1" ht="39" customHeight="1" thickBot="1" x14ac:dyDescent="0.3">
      <c r="A103" s="435"/>
      <c r="B103" s="436"/>
      <c r="C103" s="436"/>
      <c r="D103" s="439" t="s">
        <v>18</v>
      </c>
      <c r="E103" s="439"/>
      <c r="F103" s="439"/>
      <c r="G103" s="439"/>
      <c r="H103" s="439"/>
      <c r="I103" s="439"/>
      <c r="J103" s="439"/>
      <c r="K103" s="439"/>
      <c r="L103" s="439"/>
      <c r="M103" s="91"/>
      <c r="N103" s="92">
        <f>SUMIF($M$73:$M$99,D103,$N$73:$N$99)</f>
        <v>0</v>
      </c>
      <c r="O103" s="92"/>
      <c r="P103" s="93">
        <f>SUMIF($M$73:$M$99,D103,$P$73:$P$99)</f>
        <v>0</v>
      </c>
      <c r="Q103" s="92"/>
      <c r="R103" s="93">
        <f>SUMIF($M$73:$M$99,D103,$R$73:$R$99)</f>
        <v>0</v>
      </c>
      <c r="S103" s="93">
        <f>SUMIF($M$73:$M$99,D103,$S$73:$S$99)</f>
        <v>0</v>
      </c>
      <c r="T103" s="92">
        <f>SUMIF($M$73:$M$99,D103,$T$73:$T$99)</f>
        <v>0</v>
      </c>
      <c r="U103" s="92"/>
      <c r="V103" s="94"/>
      <c r="W103" s="95"/>
      <c r="X103" s="47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  <c r="BQ103" s="68"/>
      <c r="BR103" s="68"/>
      <c r="BS103" s="68"/>
      <c r="BT103" s="68"/>
      <c r="BU103" s="68"/>
      <c r="BV103" s="68"/>
      <c r="BW103" s="68"/>
      <c r="BX103" s="68"/>
      <c r="BY103" s="68"/>
      <c r="BZ103" s="68"/>
      <c r="CA103" s="68"/>
      <c r="CB103" s="68"/>
      <c r="CC103" s="68"/>
      <c r="CD103" s="68"/>
      <c r="CE103" s="68"/>
      <c r="CF103" s="68"/>
      <c r="CG103" s="68"/>
      <c r="CH103" s="68"/>
      <c r="CI103" s="68"/>
      <c r="CJ103" s="68"/>
      <c r="CK103" s="68"/>
      <c r="CL103" s="68"/>
      <c r="CM103" s="68"/>
      <c r="CN103" s="68"/>
      <c r="CO103" s="68"/>
      <c r="CP103" s="68"/>
      <c r="CQ103" s="68"/>
      <c r="CR103" s="68"/>
      <c r="CS103" s="68"/>
      <c r="CT103" s="68"/>
      <c r="CU103" s="68"/>
      <c r="CV103" s="68"/>
      <c r="CW103" s="68"/>
      <c r="CX103" s="68"/>
      <c r="CY103" s="68"/>
      <c r="CZ103" s="68"/>
      <c r="DA103" s="68"/>
      <c r="DB103" s="68"/>
      <c r="DC103" s="68"/>
      <c r="DD103" s="68"/>
      <c r="DE103" s="68"/>
      <c r="DF103" s="68"/>
      <c r="DG103" s="68"/>
      <c r="DH103" s="68"/>
      <c r="DI103" s="68"/>
      <c r="DJ103" s="68"/>
      <c r="DK103" s="68"/>
      <c r="DL103" s="68"/>
      <c r="DM103" s="68"/>
      <c r="DN103" s="68"/>
      <c r="DO103" s="68"/>
      <c r="DP103" s="68"/>
      <c r="DQ103" s="68"/>
      <c r="DR103" s="68"/>
      <c r="DS103" s="68"/>
      <c r="DT103" s="68"/>
      <c r="DU103" s="68"/>
      <c r="DV103" s="68"/>
      <c r="DW103" s="68"/>
      <c r="DX103" s="68"/>
      <c r="DY103" s="68"/>
      <c r="DZ103" s="68"/>
      <c r="EA103" s="68"/>
      <c r="EB103" s="68"/>
      <c r="EC103" s="68"/>
      <c r="ED103" s="68"/>
      <c r="EE103" s="68"/>
      <c r="EF103" s="68"/>
      <c r="EG103" s="68"/>
      <c r="EH103" s="68"/>
      <c r="EI103" s="68"/>
      <c r="EJ103" s="68"/>
      <c r="EK103" s="68"/>
      <c r="EL103" s="68"/>
      <c r="EM103" s="68"/>
      <c r="EN103" s="68"/>
      <c r="EO103" s="68"/>
      <c r="EP103" s="68"/>
      <c r="EQ103" s="68"/>
      <c r="ER103" s="68"/>
      <c r="ES103" s="68"/>
      <c r="ET103" s="68"/>
      <c r="EU103" s="68"/>
      <c r="EV103" s="68"/>
      <c r="EW103" s="68"/>
      <c r="EX103" s="68"/>
      <c r="EY103" s="68"/>
      <c r="EZ103" s="68"/>
      <c r="FA103" s="68"/>
      <c r="FB103" s="68"/>
      <c r="FC103" s="68"/>
      <c r="FD103" s="68"/>
      <c r="FE103" s="68"/>
      <c r="FF103" s="68"/>
      <c r="FG103" s="68"/>
      <c r="FH103" s="68"/>
      <c r="FI103" s="68"/>
      <c r="FJ103" s="68"/>
      <c r="FK103" s="68"/>
      <c r="FL103" s="68"/>
      <c r="FM103" s="68"/>
      <c r="FN103" s="68"/>
      <c r="FO103" s="68"/>
      <c r="FP103" s="68"/>
      <c r="FQ103" s="68"/>
      <c r="FR103" s="68"/>
      <c r="FS103" s="68"/>
      <c r="FT103" s="68"/>
      <c r="FU103" s="68"/>
      <c r="FV103" s="68"/>
      <c r="FW103" s="68"/>
      <c r="FX103" s="68"/>
      <c r="FY103" s="68"/>
      <c r="FZ103" s="68"/>
      <c r="GA103" s="68"/>
      <c r="GB103" s="68"/>
      <c r="GC103" s="68"/>
      <c r="GD103" s="68"/>
      <c r="GE103" s="68"/>
      <c r="GF103" s="68"/>
      <c r="GG103" s="68"/>
      <c r="GH103" s="68"/>
      <c r="GI103" s="68"/>
      <c r="GJ103" s="68"/>
      <c r="GK103" s="68"/>
      <c r="GL103" s="68"/>
      <c r="GM103" s="68"/>
      <c r="GN103" s="68"/>
      <c r="GO103" s="68"/>
      <c r="GP103" s="68"/>
      <c r="GQ103" s="68"/>
      <c r="GR103" s="68"/>
      <c r="GS103" s="68"/>
      <c r="GT103" s="68"/>
      <c r="GU103" s="68"/>
      <c r="GV103" s="68"/>
      <c r="GW103" s="68"/>
      <c r="GX103" s="68"/>
      <c r="GY103" s="68"/>
      <c r="GZ103" s="68"/>
      <c r="HA103" s="68"/>
      <c r="HB103" s="68"/>
      <c r="HC103" s="68"/>
      <c r="HD103" s="68"/>
      <c r="HE103" s="68"/>
      <c r="HF103" s="68"/>
      <c r="HG103" s="68"/>
      <c r="HH103" s="68"/>
      <c r="HI103" s="68"/>
      <c r="HJ103" s="68"/>
      <c r="HK103" s="68"/>
      <c r="HL103" s="68"/>
      <c r="HM103" s="68"/>
      <c r="HN103" s="68"/>
      <c r="HO103" s="68"/>
      <c r="HP103" s="68"/>
      <c r="HQ103" s="68"/>
      <c r="HR103" s="68"/>
      <c r="HS103" s="68"/>
      <c r="HT103" s="68"/>
      <c r="HU103" s="68"/>
      <c r="HV103" s="68"/>
      <c r="HW103" s="68"/>
      <c r="HX103" s="68"/>
      <c r="HY103" s="68"/>
      <c r="HZ103" s="68"/>
      <c r="IA103" s="68"/>
      <c r="IB103" s="68"/>
      <c r="IC103" s="68"/>
      <c r="ID103" s="68"/>
      <c r="IE103" s="68"/>
      <c r="IF103" s="68"/>
      <c r="IG103" s="68"/>
      <c r="IH103" s="68"/>
      <c r="II103" s="68"/>
      <c r="IJ103" s="68"/>
      <c r="IK103" s="68"/>
      <c r="IL103" s="68"/>
      <c r="IM103" s="68"/>
      <c r="IN103" s="68"/>
      <c r="IO103" s="68"/>
      <c r="IP103" s="68"/>
      <c r="IQ103" s="68"/>
      <c r="IR103" s="68"/>
      <c r="IS103" s="68"/>
      <c r="IT103" s="68"/>
      <c r="IU103" s="68"/>
      <c r="IV103" s="68"/>
      <c r="IW103" s="68"/>
      <c r="IX103" s="68"/>
      <c r="IY103" s="68"/>
      <c r="IZ103" s="68"/>
      <c r="JA103" s="68"/>
      <c r="JB103" s="68"/>
      <c r="JC103" s="68"/>
      <c r="JD103" s="68"/>
      <c r="JE103" s="68"/>
      <c r="JF103" s="68"/>
      <c r="JG103" s="68"/>
      <c r="JH103" s="68"/>
      <c r="JI103" s="68"/>
      <c r="JJ103" s="68"/>
      <c r="JK103" s="68"/>
      <c r="JL103" s="68"/>
      <c r="JM103" s="68"/>
      <c r="JN103" s="68"/>
      <c r="JO103" s="68"/>
      <c r="JP103" s="68"/>
      <c r="JQ103" s="68"/>
      <c r="JR103" s="68"/>
      <c r="JS103" s="68"/>
      <c r="JT103" s="68"/>
      <c r="JU103" s="68"/>
      <c r="JV103" s="68"/>
      <c r="JW103" s="68"/>
      <c r="JX103" s="68"/>
      <c r="JY103" s="68"/>
      <c r="JZ103" s="68"/>
      <c r="KA103" s="68"/>
      <c r="KB103" s="68"/>
      <c r="KC103" s="68"/>
      <c r="KD103" s="68"/>
      <c r="KE103" s="68"/>
      <c r="KF103" s="68"/>
      <c r="KG103" s="68"/>
      <c r="KH103" s="68"/>
      <c r="KI103" s="68"/>
      <c r="KJ103" s="68"/>
      <c r="KK103" s="68"/>
      <c r="KL103" s="68"/>
      <c r="KM103" s="68"/>
      <c r="KN103" s="68"/>
      <c r="KO103" s="68"/>
      <c r="KP103" s="68"/>
      <c r="KQ103" s="68"/>
      <c r="KR103" s="68"/>
      <c r="KS103" s="68"/>
      <c r="KT103" s="68"/>
      <c r="KU103" s="68"/>
      <c r="KV103" s="68"/>
      <c r="KW103" s="68"/>
      <c r="KX103" s="68"/>
      <c r="KY103" s="68"/>
      <c r="KZ103" s="68"/>
      <c r="LA103" s="68"/>
      <c r="LB103" s="68"/>
      <c r="LC103" s="68"/>
      <c r="LD103" s="68"/>
      <c r="LE103" s="68"/>
      <c r="LF103" s="68"/>
      <c r="LG103" s="68"/>
      <c r="LH103" s="68"/>
      <c r="LI103" s="68"/>
      <c r="LJ103" s="68"/>
      <c r="LK103" s="68"/>
      <c r="LL103" s="68"/>
      <c r="LM103" s="68"/>
      <c r="LN103" s="68"/>
      <c r="LO103" s="68"/>
      <c r="LP103" s="68"/>
      <c r="LQ103" s="68"/>
      <c r="LR103" s="68"/>
      <c r="LS103" s="68"/>
      <c r="LT103" s="68"/>
      <c r="LU103" s="68"/>
      <c r="LV103" s="68"/>
      <c r="LW103" s="68"/>
      <c r="LX103" s="68"/>
      <c r="LY103" s="68"/>
      <c r="LZ103" s="68"/>
      <c r="MA103" s="68"/>
      <c r="MB103" s="68"/>
      <c r="MC103" s="68"/>
      <c r="MD103" s="68"/>
      <c r="ME103" s="68"/>
      <c r="MF103" s="68"/>
      <c r="MG103" s="68"/>
      <c r="MH103" s="68"/>
      <c r="MI103" s="68"/>
      <c r="MJ103" s="68"/>
      <c r="MK103" s="68"/>
      <c r="ML103" s="68"/>
      <c r="MM103" s="68"/>
      <c r="MN103" s="68"/>
      <c r="MO103" s="68"/>
      <c r="MP103" s="68"/>
      <c r="MQ103" s="68"/>
      <c r="MR103" s="68"/>
      <c r="MS103" s="68"/>
      <c r="MT103" s="68"/>
      <c r="MU103" s="68"/>
      <c r="MV103" s="68"/>
      <c r="MW103" s="68"/>
      <c r="MX103" s="68"/>
      <c r="MY103" s="68"/>
      <c r="MZ103" s="68"/>
      <c r="NA103" s="68"/>
      <c r="NB103" s="68"/>
      <c r="NC103" s="68"/>
      <c r="ND103" s="68"/>
      <c r="NE103" s="68"/>
      <c r="NF103" s="68"/>
      <c r="NG103" s="68"/>
      <c r="NH103" s="68"/>
      <c r="NI103" s="68"/>
      <c r="NJ103" s="68"/>
      <c r="NK103" s="68"/>
      <c r="NL103" s="68"/>
      <c r="NM103" s="68"/>
      <c r="NN103" s="68"/>
      <c r="NO103" s="68"/>
      <c r="NP103" s="68"/>
      <c r="NQ103" s="68"/>
      <c r="NR103" s="68"/>
      <c r="NS103" s="68"/>
      <c r="NT103" s="68"/>
      <c r="NU103" s="68"/>
      <c r="NV103" s="68"/>
      <c r="NW103" s="68"/>
      <c r="NX103" s="68"/>
      <c r="NY103" s="68"/>
      <c r="NZ103" s="68"/>
      <c r="OA103" s="68"/>
      <c r="OB103" s="68"/>
      <c r="OC103" s="68"/>
      <c r="OD103" s="68"/>
      <c r="OE103" s="68"/>
      <c r="OF103" s="68"/>
      <c r="OG103" s="68"/>
      <c r="OH103" s="68"/>
      <c r="OI103" s="68"/>
      <c r="OJ103" s="68"/>
      <c r="OK103" s="68"/>
      <c r="OL103" s="68"/>
      <c r="OM103" s="68"/>
      <c r="ON103" s="68"/>
      <c r="OO103" s="68"/>
      <c r="OP103" s="68"/>
      <c r="OQ103" s="68"/>
      <c r="OR103" s="68"/>
      <c r="OS103" s="68"/>
      <c r="OT103" s="68"/>
      <c r="OU103" s="68"/>
      <c r="OV103" s="68"/>
      <c r="OW103" s="68"/>
      <c r="OX103" s="68"/>
      <c r="OY103" s="68"/>
      <c r="OZ103" s="68"/>
      <c r="PA103" s="68"/>
      <c r="PB103" s="68"/>
      <c r="PC103" s="68"/>
      <c r="PD103" s="68"/>
      <c r="PE103" s="68"/>
      <c r="PF103" s="68"/>
      <c r="PG103" s="68"/>
      <c r="PH103" s="68"/>
      <c r="PI103" s="68"/>
      <c r="PJ103" s="68"/>
      <c r="PK103" s="68"/>
      <c r="PL103" s="68"/>
      <c r="PM103" s="68"/>
      <c r="PN103" s="68"/>
      <c r="PO103" s="68"/>
      <c r="PP103" s="68"/>
      <c r="PQ103" s="68"/>
      <c r="PR103" s="68"/>
      <c r="PS103" s="68"/>
      <c r="PT103" s="68"/>
      <c r="PU103" s="68"/>
      <c r="PV103" s="68"/>
      <c r="PW103" s="68"/>
      <c r="PX103" s="68"/>
      <c r="PY103" s="68"/>
      <c r="PZ103" s="68"/>
      <c r="QA103" s="68"/>
      <c r="QB103" s="68"/>
      <c r="QC103" s="68"/>
      <c r="QD103" s="68"/>
      <c r="QE103" s="68"/>
      <c r="QF103" s="68"/>
      <c r="QG103" s="68"/>
      <c r="QH103" s="68"/>
      <c r="QI103" s="68"/>
      <c r="QJ103" s="68"/>
      <c r="QK103" s="68"/>
      <c r="QL103" s="68"/>
      <c r="QM103" s="68"/>
      <c r="QN103" s="68"/>
      <c r="QO103" s="68"/>
      <c r="QP103" s="68"/>
      <c r="QQ103" s="68"/>
      <c r="QR103" s="68"/>
      <c r="QS103" s="68"/>
      <c r="QT103" s="68"/>
      <c r="QU103" s="68"/>
      <c r="QV103" s="68"/>
      <c r="QW103" s="68"/>
      <c r="QX103" s="68"/>
      <c r="QY103" s="68"/>
      <c r="QZ103" s="68"/>
      <c r="RA103" s="68"/>
      <c r="RB103" s="68"/>
      <c r="RC103" s="68"/>
      <c r="RD103" s="68"/>
      <c r="RE103" s="68"/>
      <c r="RF103" s="68"/>
      <c r="RG103" s="68"/>
      <c r="RH103" s="68"/>
      <c r="RI103" s="68"/>
      <c r="RJ103" s="68"/>
      <c r="RK103" s="68"/>
      <c r="RL103" s="68"/>
      <c r="RM103" s="68"/>
      <c r="RN103" s="68"/>
      <c r="RO103" s="68"/>
      <c r="RP103" s="68"/>
      <c r="RQ103" s="68"/>
      <c r="RR103" s="68"/>
      <c r="RS103" s="68"/>
      <c r="RT103" s="68"/>
      <c r="RU103" s="68"/>
      <c r="RV103" s="68"/>
      <c r="RW103" s="68"/>
      <c r="RX103" s="68"/>
      <c r="RY103" s="68"/>
      <c r="RZ103" s="68"/>
      <c r="SA103" s="68"/>
      <c r="SB103" s="68"/>
      <c r="SC103" s="68"/>
      <c r="SD103" s="68"/>
      <c r="SE103" s="68"/>
      <c r="SF103" s="68"/>
      <c r="SG103" s="68"/>
      <c r="SH103" s="68"/>
      <c r="SI103" s="68"/>
      <c r="SJ103" s="68"/>
      <c r="SK103" s="68"/>
      <c r="SL103" s="68"/>
      <c r="SM103" s="68"/>
      <c r="SN103" s="68"/>
      <c r="SO103" s="68"/>
      <c r="SP103" s="68"/>
      <c r="SQ103" s="68"/>
      <c r="SR103" s="68"/>
      <c r="SS103" s="68"/>
      <c r="ST103" s="68"/>
      <c r="SU103" s="68"/>
      <c r="SV103" s="68"/>
      <c r="SW103" s="68"/>
      <c r="SX103" s="68"/>
      <c r="SY103" s="68"/>
      <c r="SZ103" s="68"/>
      <c r="TA103" s="68"/>
      <c r="TB103" s="68"/>
      <c r="TC103" s="68"/>
      <c r="TD103" s="68"/>
      <c r="TE103" s="68"/>
      <c r="TF103" s="68"/>
      <c r="TG103" s="68"/>
      <c r="TH103" s="68"/>
      <c r="TI103" s="68"/>
      <c r="TJ103" s="68"/>
      <c r="TK103" s="68"/>
      <c r="TL103" s="68"/>
      <c r="TM103" s="68"/>
      <c r="TN103" s="68"/>
      <c r="TO103" s="68"/>
      <c r="TP103" s="68"/>
      <c r="TQ103" s="68"/>
      <c r="TR103" s="68"/>
      <c r="TS103" s="68"/>
      <c r="TT103" s="68"/>
      <c r="TU103" s="68"/>
      <c r="TV103" s="68"/>
      <c r="TW103" s="68"/>
      <c r="TX103" s="68"/>
      <c r="TY103" s="68"/>
      <c r="TZ103" s="68"/>
      <c r="UA103" s="68"/>
      <c r="UB103" s="68"/>
      <c r="UC103" s="68"/>
      <c r="UD103" s="68"/>
      <c r="UE103" s="68"/>
      <c r="UF103" s="68"/>
      <c r="UG103" s="68"/>
      <c r="UH103" s="68"/>
      <c r="UI103" s="68"/>
      <c r="UJ103" s="68"/>
      <c r="UK103" s="68"/>
      <c r="UL103" s="68"/>
      <c r="UM103" s="68"/>
      <c r="UN103" s="68"/>
      <c r="UO103" s="68"/>
      <c r="UP103" s="68"/>
      <c r="UQ103" s="68"/>
      <c r="UR103" s="68"/>
      <c r="US103" s="68"/>
      <c r="UT103" s="68"/>
      <c r="UU103" s="68"/>
      <c r="UV103" s="68"/>
      <c r="UW103" s="68"/>
      <c r="UX103" s="68"/>
      <c r="UY103" s="68"/>
      <c r="UZ103" s="68"/>
      <c r="VA103" s="68"/>
      <c r="VB103" s="68"/>
      <c r="VC103" s="68"/>
      <c r="VD103" s="68"/>
      <c r="VE103" s="68"/>
      <c r="VF103" s="68"/>
      <c r="VG103" s="68"/>
      <c r="VH103" s="68"/>
      <c r="VI103" s="68"/>
      <c r="VJ103" s="68"/>
      <c r="VK103" s="68"/>
      <c r="VL103" s="68"/>
      <c r="VM103" s="68"/>
      <c r="VN103" s="68"/>
      <c r="VO103" s="68"/>
      <c r="VP103" s="68"/>
      <c r="VQ103" s="68"/>
      <c r="VR103" s="68"/>
      <c r="VS103" s="68"/>
      <c r="VT103" s="68"/>
      <c r="VU103" s="68"/>
      <c r="VV103" s="68"/>
      <c r="VW103" s="68"/>
      <c r="VX103" s="68"/>
      <c r="VY103" s="68"/>
      <c r="VZ103" s="68"/>
      <c r="WA103" s="68"/>
      <c r="WB103" s="68"/>
      <c r="WC103" s="68"/>
      <c r="WD103" s="68"/>
      <c r="WE103" s="68"/>
      <c r="WF103" s="68"/>
      <c r="WG103" s="68"/>
      <c r="WH103" s="68"/>
      <c r="WI103" s="68"/>
      <c r="WJ103" s="68"/>
      <c r="WK103" s="68"/>
      <c r="WL103" s="68"/>
      <c r="WM103" s="68"/>
      <c r="WN103" s="68"/>
      <c r="WO103" s="68"/>
      <c r="WP103" s="68"/>
      <c r="WQ103" s="68"/>
      <c r="WR103" s="68"/>
      <c r="WS103" s="68"/>
      <c r="WT103" s="68"/>
      <c r="WU103" s="68"/>
      <c r="WV103" s="68"/>
      <c r="WW103" s="68"/>
      <c r="WX103" s="68"/>
      <c r="WY103" s="68"/>
      <c r="WZ103" s="68"/>
      <c r="XA103" s="68"/>
      <c r="XB103" s="68"/>
      <c r="XC103" s="68"/>
      <c r="XD103" s="68"/>
      <c r="XE103" s="68"/>
      <c r="XF103" s="68"/>
      <c r="XG103" s="68"/>
      <c r="XH103" s="68"/>
      <c r="XI103" s="68"/>
      <c r="XJ103" s="68"/>
      <c r="XK103" s="68"/>
      <c r="XL103" s="68"/>
      <c r="XM103" s="68"/>
      <c r="XN103" s="68"/>
      <c r="XO103" s="68"/>
      <c r="XP103" s="68"/>
      <c r="XQ103" s="68"/>
      <c r="XR103" s="68"/>
      <c r="XS103" s="68"/>
      <c r="XT103" s="68"/>
      <c r="XU103" s="68"/>
      <c r="XV103" s="68"/>
      <c r="XW103" s="68"/>
      <c r="XX103" s="68"/>
      <c r="XY103" s="68"/>
      <c r="XZ103" s="68"/>
      <c r="YA103" s="68"/>
      <c r="YB103" s="68"/>
      <c r="YC103" s="68"/>
      <c r="YD103" s="68"/>
      <c r="YE103" s="68"/>
      <c r="YF103" s="68"/>
      <c r="YG103" s="68"/>
      <c r="YH103" s="68"/>
      <c r="YI103" s="68"/>
      <c r="YJ103" s="68"/>
      <c r="YK103" s="68"/>
      <c r="YL103" s="68"/>
      <c r="YM103" s="68"/>
      <c r="YN103" s="68"/>
      <c r="YO103" s="68"/>
      <c r="YP103" s="68"/>
      <c r="YQ103" s="68"/>
      <c r="YR103" s="68"/>
      <c r="YS103" s="68"/>
      <c r="YT103" s="68"/>
      <c r="YU103" s="68"/>
      <c r="YV103" s="68"/>
      <c r="YW103" s="68"/>
      <c r="YX103" s="68"/>
      <c r="YY103" s="68"/>
      <c r="YZ103" s="68"/>
      <c r="ZA103" s="68"/>
      <c r="ZB103" s="68"/>
      <c r="ZC103" s="68"/>
      <c r="ZD103" s="68"/>
      <c r="ZE103" s="68"/>
      <c r="ZF103" s="68"/>
      <c r="ZG103" s="68"/>
      <c r="ZH103" s="68"/>
      <c r="ZI103" s="68"/>
      <c r="ZJ103" s="68"/>
      <c r="ZK103" s="68"/>
      <c r="ZL103" s="68"/>
      <c r="ZM103" s="68"/>
      <c r="ZN103" s="68"/>
      <c r="ZO103" s="68"/>
      <c r="ZP103" s="68"/>
      <c r="ZQ103" s="68"/>
      <c r="ZR103" s="68"/>
      <c r="ZS103" s="68"/>
      <c r="ZT103" s="68"/>
      <c r="ZU103" s="68"/>
      <c r="ZV103" s="68"/>
      <c r="ZW103" s="68"/>
      <c r="ZX103" s="68"/>
      <c r="ZY103" s="68"/>
      <c r="ZZ103" s="68"/>
      <c r="AAA103" s="68"/>
      <c r="AAB103" s="68"/>
      <c r="AAC103" s="68"/>
      <c r="AAD103" s="68"/>
      <c r="AAE103" s="68"/>
      <c r="AAF103" s="68"/>
      <c r="AAG103" s="68"/>
      <c r="AAH103" s="68"/>
      <c r="AAI103" s="68"/>
      <c r="AAJ103" s="68"/>
      <c r="AAK103" s="68"/>
      <c r="AAL103" s="68"/>
      <c r="AAM103" s="68"/>
      <c r="AAN103" s="68"/>
      <c r="AAO103" s="68"/>
      <c r="AAP103" s="68"/>
      <c r="AAQ103" s="68"/>
      <c r="AAR103" s="68"/>
      <c r="AAS103" s="68"/>
      <c r="AAT103" s="68"/>
      <c r="AAU103" s="68"/>
      <c r="AAV103" s="68"/>
      <c r="AAW103" s="68"/>
      <c r="AAX103" s="68"/>
      <c r="AAY103" s="68"/>
      <c r="AAZ103" s="68"/>
      <c r="ABA103" s="68"/>
      <c r="ABB103" s="68"/>
      <c r="ABC103" s="68"/>
      <c r="ABD103" s="68"/>
      <c r="ABE103" s="68"/>
      <c r="ABF103" s="68"/>
      <c r="ABG103" s="68"/>
      <c r="ABH103" s="68"/>
      <c r="ABI103" s="68"/>
      <c r="ABJ103" s="68"/>
      <c r="ABK103" s="68"/>
      <c r="ABL103" s="68"/>
      <c r="ABM103" s="68"/>
      <c r="ABN103" s="68"/>
      <c r="ABO103" s="68"/>
      <c r="ABP103" s="68"/>
      <c r="ABQ103" s="68"/>
      <c r="ABR103" s="68"/>
      <c r="ABS103" s="68"/>
      <c r="ABT103" s="68"/>
      <c r="ABU103" s="68"/>
      <c r="ABV103" s="68"/>
      <c r="ABW103" s="68"/>
      <c r="ABX103" s="68"/>
      <c r="ABY103" s="68"/>
      <c r="ABZ103" s="68"/>
      <c r="ACA103" s="68"/>
      <c r="ACB103" s="68"/>
      <c r="ACC103" s="68"/>
      <c r="ACD103" s="68"/>
      <c r="ACE103" s="68"/>
      <c r="ACF103" s="68"/>
      <c r="ACG103" s="68"/>
      <c r="ACH103" s="68"/>
      <c r="ACI103" s="68"/>
      <c r="ACJ103" s="68"/>
      <c r="ACK103" s="68"/>
      <c r="ACL103" s="68"/>
      <c r="ACM103" s="68"/>
      <c r="ACN103" s="68"/>
      <c r="ACO103" s="68"/>
      <c r="ACP103" s="68"/>
      <c r="ACQ103" s="68"/>
      <c r="ACR103" s="68"/>
      <c r="ACS103" s="68"/>
      <c r="ACT103" s="68"/>
      <c r="ACU103" s="68"/>
      <c r="ACV103" s="68"/>
      <c r="ACW103" s="68"/>
      <c r="ACX103" s="68"/>
      <c r="ACY103" s="68"/>
      <c r="ACZ103" s="68"/>
      <c r="ADA103" s="68"/>
      <c r="ADB103" s="68"/>
      <c r="ADC103" s="68"/>
      <c r="ADD103" s="68"/>
      <c r="ADE103" s="68"/>
      <c r="ADF103" s="68"/>
      <c r="ADG103" s="68"/>
      <c r="ADH103" s="68"/>
      <c r="ADI103" s="68"/>
      <c r="ADJ103" s="68"/>
      <c r="ADK103" s="68"/>
      <c r="ADL103" s="68"/>
      <c r="ADM103" s="68"/>
      <c r="ADN103" s="68"/>
      <c r="ADO103" s="68"/>
      <c r="ADP103" s="68"/>
      <c r="ADQ103" s="68"/>
      <c r="ADR103" s="68"/>
      <c r="ADS103" s="68"/>
      <c r="ADT103" s="68"/>
      <c r="ADU103" s="68"/>
      <c r="ADV103" s="68"/>
      <c r="ADW103" s="68"/>
      <c r="ADX103" s="68"/>
      <c r="ADY103" s="68"/>
      <c r="ADZ103" s="68"/>
      <c r="AEA103" s="68"/>
      <c r="AEB103" s="68"/>
      <c r="AEC103" s="68"/>
      <c r="AED103" s="68"/>
      <c r="AEE103" s="68"/>
      <c r="AEF103" s="68"/>
      <c r="AEG103" s="68"/>
      <c r="AEH103" s="68"/>
      <c r="AEI103" s="68"/>
      <c r="AEJ103" s="68"/>
      <c r="AEK103" s="68"/>
      <c r="AEL103" s="68"/>
      <c r="AEM103" s="68"/>
      <c r="AEN103" s="68"/>
      <c r="AEO103" s="68"/>
      <c r="AEP103" s="68"/>
      <c r="AEQ103" s="68"/>
      <c r="AER103" s="68"/>
      <c r="AES103" s="68"/>
      <c r="AET103" s="68"/>
      <c r="AEU103" s="68"/>
      <c r="AEV103" s="68"/>
      <c r="AEW103" s="68"/>
      <c r="AEX103" s="68"/>
      <c r="AEY103" s="68"/>
      <c r="AEZ103" s="68"/>
      <c r="AFA103" s="68"/>
      <c r="AFB103" s="68"/>
      <c r="AFC103" s="68"/>
      <c r="AFD103" s="68"/>
      <c r="AFE103" s="68"/>
      <c r="AFF103" s="68"/>
      <c r="AFG103" s="68"/>
      <c r="AFH103" s="68"/>
      <c r="AFI103" s="68"/>
      <c r="AFJ103" s="68"/>
      <c r="AFK103" s="68"/>
      <c r="AFL103" s="68"/>
      <c r="AFM103" s="68"/>
      <c r="AFN103" s="68"/>
      <c r="AFO103" s="68"/>
      <c r="AFP103" s="68"/>
      <c r="AFQ103" s="68"/>
      <c r="AFR103" s="68"/>
      <c r="AFS103" s="68"/>
      <c r="AFT103" s="68"/>
      <c r="AFU103" s="68"/>
      <c r="AFV103" s="68"/>
      <c r="AFW103" s="68"/>
      <c r="AFX103" s="68"/>
      <c r="AFY103" s="68"/>
      <c r="AFZ103" s="68"/>
      <c r="AGA103" s="68"/>
      <c r="AGB103" s="68"/>
      <c r="AGC103" s="68"/>
      <c r="AGD103" s="68"/>
      <c r="AGE103" s="68"/>
      <c r="AGF103" s="68"/>
      <c r="AGG103" s="68"/>
      <c r="AGH103" s="68"/>
      <c r="AGI103" s="68"/>
      <c r="AGJ103" s="68"/>
      <c r="AGK103" s="68"/>
      <c r="AGL103" s="68"/>
      <c r="AGM103" s="68"/>
      <c r="AGN103" s="68"/>
      <c r="AGO103" s="68"/>
      <c r="AGP103" s="68"/>
      <c r="AGQ103" s="68"/>
      <c r="AGR103" s="68"/>
      <c r="AGS103" s="68"/>
      <c r="AGT103" s="68"/>
      <c r="AGU103" s="68"/>
      <c r="AGV103" s="68"/>
      <c r="AGW103" s="68"/>
      <c r="AGX103" s="68"/>
      <c r="AGY103" s="68"/>
      <c r="AGZ103" s="68"/>
      <c r="AHA103" s="68"/>
      <c r="AHB103" s="68"/>
      <c r="AHC103" s="68"/>
      <c r="AHD103" s="68"/>
      <c r="AHE103" s="68"/>
      <c r="AHF103" s="68"/>
      <c r="AHG103" s="68"/>
      <c r="AHH103" s="68"/>
      <c r="AHI103" s="68"/>
      <c r="AHJ103" s="68"/>
      <c r="AHK103" s="68"/>
      <c r="AHL103" s="68"/>
      <c r="AHM103" s="68"/>
      <c r="AHN103" s="68"/>
      <c r="AHO103" s="68"/>
      <c r="AHP103" s="68"/>
      <c r="AHQ103" s="68"/>
      <c r="AHR103" s="68"/>
      <c r="AHS103" s="68"/>
      <c r="AHT103" s="68"/>
      <c r="AHU103" s="68"/>
      <c r="AHV103" s="68"/>
      <c r="AHW103" s="68"/>
      <c r="AHX103" s="68"/>
      <c r="AHY103" s="68"/>
      <c r="AHZ103" s="68"/>
      <c r="AIA103" s="68"/>
      <c r="AIB103" s="68"/>
      <c r="AIC103" s="68"/>
      <c r="AID103" s="68"/>
      <c r="AIE103" s="68"/>
      <c r="AIF103" s="68"/>
      <c r="AIG103" s="68"/>
      <c r="AIH103" s="68"/>
      <c r="AII103" s="68"/>
      <c r="AIJ103" s="68"/>
      <c r="AIK103" s="68"/>
      <c r="AIL103" s="68"/>
      <c r="AIM103" s="68"/>
      <c r="AIN103" s="68"/>
      <c r="AIO103" s="68"/>
      <c r="AIP103" s="68"/>
      <c r="AIQ103" s="68"/>
      <c r="AIR103" s="68"/>
      <c r="AIS103" s="68"/>
      <c r="AIT103" s="68"/>
      <c r="AIU103" s="68"/>
      <c r="AIV103" s="68"/>
      <c r="AIW103" s="68"/>
      <c r="AIX103" s="68"/>
      <c r="AIY103" s="68"/>
      <c r="AIZ103" s="68"/>
      <c r="AJA103" s="68"/>
      <c r="AJB103" s="68"/>
      <c r="AJC103" s="68"/>
    </row>
    <row r="104" spans="1:939" s="114" customFormat="1" ht="156.75" customHeight="1" outlineLevel="1" x14ac:dyDescent="0.25">
      <c r="A104" s="99">
        <v>65</v>
      </c>
      <c r="B104" s="303" t="s">
        <v>325</v>
      </c>
      <c r="C104" s="303" t="s">
        <v>267</v>
      </c>
      <c r="D104" s="303"/>
      <c r="E104" s="118"/>
      <c r="F104" s="118"/>
      <c r="G104" s="118"/>
      <c r="H104" s="118"/>
      <c r="I104" s="118"/>
      <c r="J104" s="118"/>
      <c r="K104" s="305" t="s">
        <v>335</v>
      </c>
      <c r="L104" s="305" t="s">
        <v>348</v>
      </c>
      <c r="M104" s="101" t="s">
        <v>51</v>
      </c>
      <c r="N104" s="120">
        <f>3047000000+3000000000</f>
        <v>6047000000</v>
      </c>
      <c r="O104" s="23">
        <f t="shared" ref="O104:O109" si="19">IF(M104=$B$150,N104,IF(M104=$B$152,N104*$C$152/$C$150,IF(M104=$B$151,N104*$C$151/$C$150,IF(M104=$B$149,N104/$C$150))))</f>
        <v>14938610.143531213</v>
      </c>
      <c r="P104" s="23">
        <v>6000000000</v>
      </c>
      <c r="Q104" s="121"/>
      <c r="R104" s="23">
        <f>4439902959+260956717.5+995441267.7+73262192.2+103703140+88648827.6+23704487.9</f>
        <v>5985619591.8999996</v>
      </c>
      <c r="S104" s="23"/>
      <c r="T104" s="124">
        <f>P104-R104</f>
        <v>14380408.100000381</v>
      </c>
      <c r="U104" s="105">
        <f t="shared" ref="U104:U109" si="20">IF(M104=$B$150,T104,IF(M104=$B$152,T104*$C$152/$C$150,IF(M104=$B$151,T104*$C$151/$C$150,IF(M104=$B$149,T104/$C$150))))</f>
        <v>35525.601175919321</v>
      </c>
      <c r="V104" s="127" t="s">
        <v>111</v>
      </c>
      <c r="W104" s="128"/>
      <c r="X104" s="96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97"/>
      <c r="JT104" s="97"/>
      <c r="JU104" s="97"/>
      <c r="JV104" s="97"/>
      <c r="JW104" s="97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  <c r="TC104" s="97"/>
      <c r="TD104" s="97"/>
      <c r="TE104" s="97"/>
      <c r="TF104" s="97"/>
      <c r="TG104" s="97"/>
      <c r="TH104" s="97"/>
      <c r="TI104" s="97"/>
      <c r="TJ104" s="97"/>
      <c r="TK104" s="97"/>
      <c r="TL104" s="97"/>
      <c r="TM104" s="97"/>
      <c r="TN104" s="97"/>
      <c r="TO104" s="97"/>
      <c r="TP104" s="97"/>
      <c r="TQ104" s="97"/>
      <c r="TR104" s="97"/>
      <c r="TS104" s="97"/>
      <c r="TT104" s="97"/>
      <c r="TU104" s="97"/>
      <c r="TV104" s="97"/>
      <c r="TW104" s="97"/>
      <c r="TX104" s="97"/>
      <c r="TY104" s="97"/>
      <c r="TZ104" s="97"/>
      <c r="UA104" s="97"/>
      <c r="UB104" s="97"/>
      <c r="UC104" s="97"/>
      <c r="UD104" s="97"/>
      <c r="UE104" s="97"/>
      <c r="UF104" s="97"/>
      <c r="UG104" s="97"/>
      <c r="UH104" s="97"/>
      <c r="UI104" s="97"/>
      <c r="UJ104" s="97"/>
      <c r="UK104" s="97"/>
      <c r="UL104" s="97"/>
      <c r="UM104" s="97"/>
      <c r="UN104" s="97"/>
      <c r="UO104" s="97"/>
      <c r="UP104" s="97"/>
      <c r="UQ104" s="97"/>
      <c r="UR104" s="97"/>
      <c r="US104" s="97"/>
      <c r="UT104" s="97"/>
      <c r="UU104" s="97"/>
      <c r="UV104" s="97"/>
      <c r="UW104" s="97"/>
      <c r="UX104" s="97"/>
      <c r="UY104" s="97"/>
      <c r="UZ104" s="97"/>
      <c r="VA104" s="97"/>
      <c r="VB104" s="97"/>
      <c r="VC104" s="97"/>
      <c r="VD104" s="97"/>
      <c r="VE104" s="97"/>
      <c r="VF104" s="97"/>
      <c r="VG104" s="97"/>
      <c r="VH104" s="97"/>
      <c r="VI104" s="97"/>
      <c r="VJ104" s="97"/>
      <c r="VK104" s="97"/>
      <c r="VL104" s="97"/>
      <c r="VM104" s="97"/>
      <c r="VN104" s="97"/>
      <c r="VO104" s="97"/>
      <c r="VP104" s="97"/>
      <c r="VQ104" s="97"/>
      <c r="VR104" s="97"/>
      <c r="VS104" s="97"/>
      <c r="VT104" s="97"/>
      <c r="VU104" s="97"/>
      <c r="VV104" s="97"/>
      <c r="VW104" s="97"/>
      <c r="VX104" s="97"/>
      <c r="VY104" s="97"/>
      <c r="VZ104" s="97"/>
      <c r="WA104" s="97"/>
      <c r="WB104" s="97"/>
      <c r="WC104" s="97"/>
      <c r="WD104" s="97"/>
      <c r="WE104" s="97"/>
      <c r="WF104" s="97"/>
      <c r="WG104" s="97"/>
      <c r="WH104" s="97"/>
      <c r="WI104" s="97"/>
      <c r="WJ104" s="97"/>
      <c r="WK104" s="97"/>
      <c r="WL104" s="97"/>
      <c r="WM104" s="97"/>
      <c r="WN104" s="97"/>
      <c r="WO104" s="97"/>
      <c r="WP104" s="97"/>
      <c r="WQ104" s="97"/>
      <c r="WR104" s="97"/>
      <c r="WS104" s="97"/>
      <c r="WT104" s="97"/>
      <c r="WU104" s="97"/>
      <c r="WV104" s="97"/>
      <c r="WW104" s="97"/>
      <c r="WX104" s="97"/>
      <c r="WY104" s="97"/>
      <c r="WZ104" s="97"/>
      <c r="XA104" s="97"/>
      <c r="XB104" s="97"/>
      <c r="XC104" s="97"/>
      <c r="XD104" s="97"/>
      <c r="XE104" s="97"/>
      <c r="XF104" s="97"/>
      <c r="XG104" s="97"/>
      <c r="XH104" s="97"/>
      <c r="XI104" s="97"/>
      <c r="XJ104" s="97"/>
      <c r="XK104" s="97"/>
      <c r="XL104" s="97"/>
      <c r="XM104" s="97"/>
      <c r="XN104" s="97"/>
      <c r="XO104" s="97"/>
      <c r="XP104" s="97"/>
      <c r="XQ104" s="97"/>
      <c r="XR104" s="97"/>
      <c r="XS104" s="97"/>
      <c r="XT104" s="97"/>
      <c r="XU104" s="97"/>
      <c r="XV104" s="97"/>
      <c r="XW104" s="97"/>
      <c r="XX104" s="97"/>
      <c r="XY104" s="97"/>
      <c r="XZ104" s="97"/>
      <c r="YA104" s="97"/>
      <c r="YB104" s="97"/>
      <c r="YC104" s="97"/>
      <c r="YD104" s="97"/>
      <c r="YE104" s="97"/>
      <c r="YF104" s="97"/>
      <c r="YG104" s="97"/>
      <c r="YH104" s="97"/>
      <c r="YI104" s="97"/>
      <c r="YJ104" s="97"/>
      <c r="YK104" s="97"/>
      <c r="YL104" s="97"/>
      <c r="YM104" s="97"/>
      <c r="YN104" s="97"/>
      <c r="YO104" s="97"/>
      <c r="YP104" s="97"/>
      <c r="YQ104" s="97"/>
      <c r="YR104" s="97"/>
      <c r="YS104" s="97"/>
      <c r="YT104" s="97"/>
      <c r="YU104" s="97"/>
      <c r="YV104" s="97"/>
      <c r="YW104" s="97"/>
      <c r="YX104" s="97"/>
      <c r="YY104" s="97"/>
      <c r="YZ104" s="97"/>
      <c r="ZA104" s="97"/>
      <c r="ZB104" s="97"/>
      <c r="ZC104" s="97"/>
      <c r="ZD104" s="97"/>
      <c r="ZE104" s="97"/>
      <c r="ZF104" s="97"/>
      <c r="ZG104" s="97"/>
      <c r="ZH104" s="97"/>
      <c r="ZI104" s="97"/>
      <c r="ZJ104" s="97"/>
      <c r="ZK104" s="97"/>
      <c r="ZL104" s="97"/>
      <c r="ZM104" s="97"/>
      <c r="ZN104" s="97"/>
      <c r="ZO104" s="97"/>
      <c r="ZP104" s="97"/>
      <c r="ZQ104" s="97"/>
      <c r="ZR104" s="97"/>
      <c r="ZS104" s="97"/>
      <c r="ZT104" s="97"/>
      <c r="ZU104" s="97"/>
      <c r="ZV104" s="97"/>
      <c r="ZW104" s="97"/>
      <c r="ZX104" s="97"/>
      <c r="ZY104" s="97"/>
      <c r="ZZ104" s="97"/>
      <c r="AAA104" s="97"/>
      <c r="AAB104" s="97"/>
      <c r="AAC104" s="97"/>
      <c r="AAD104" s="97"/>
      <c r="AAE104" s="97"/>
      <c r="AAF104" s="97"/>
      <c r="AAG104" s="97"/>
      <c r="AAH104" s="97"/>
      <c r="AAI104" s="97"/>
      <c r="AAJ104" s="97"/>
      <c r="AAK104" s="97"/>
      <c r="AAL104" s="97"/>
      <c r="AAM104" s="97"/>
      <c r="AAN104" s="97"/>
      <c r="AAO104" s="97"/>
      <c r="AAP104" s="97"/>
      <c r="AAQ104" s="97"/>
      <c r="AAR104" s="97"/>
      <c r="AAS104" s="97"/>
      <c r="AAT104" s="97"/>
      <c r="AAU104" s="97"/>
      <c r="AAV104" s="97"/>
      <c r="AAW104" s="97"/>
      <c r="AAX104" s="97"/>
      <c r="AAY104" s="97"/>
      <c r="AAZ104" s="97"/>
      <c r="ABA104" s="97"/>
      <c r="ABB104" s="97"/>
      <c r="ABC104" s="97"/>
      <c r="ABD104" s="97"/>
      <c r="ABE104" s="97"/>
      <c r="ABF104" s="97"/>
      <c r="ABG104" s="97"/>
      <c r="ABH104" s="97"/>
      <c r="ABI104" s="97"/>
      <c r="ABJ104" s="97"/>
      <c r="ABK104" s="97"/>
      <c r="ABL104" s="97"/>
      <c r="ABM104" s="97"/>
      <c r="ABN104" s="97"/>
      <c r="ABO104" s="97"/>
      <c r="ABP104" s="97"/>
      <c r="ABQ104" s="97"/>
      <c r="ABR104" s="97"/>
      <c r="ABS104" s="97"/>
      <c r="ABT104" s="97"/>
      <c r="ABU104" s="97"/>
      <c r="ABV104" s="97"/>
      <c r="ABW104" s="97"/>
      <c r="ABX104" s="97"/>
      <c r="ABY104" s="97"/>
      <c r="ABZ104" s="97"/>
      <c r="ACA104" s="97"/>
      <c r="ACB104" s="97"/>
      <c r="ACC104" s="97"/>
      <c r="ACD104" s="97"/>
      <c r="ACE104" s="97"/>
      <c r="ACF104" s="97"/>
      <c r="ACG104" s="97"/>
      <c r="ACH104" s="97"/>
      <c r="ACI104" s="97"/>
      <c r="ACJ104" s="97"/>
      <c r="ACK104" s="97"/>
      <c r="ACL104" s="97"/>
      <c r="ACM104" s="97"/>
      <c r="ACN104" s="97"/>
      <c r="ACO104" s="97"/>
      <c r="ACP104" s="97"/>
      <c r="ACQ104" s="97"/>
      <c r="ACR104" s="97"/>
      <c r="ACS104" s="97"/>
      <c r="ACT104" s="97"/>
      <c r="ACU104" s="97"/>
      <c r="ACV104" s="97"/>
      <c r="ACW104" s="97"/>
      <c r="ACX104" s="97"/>
      <c r="ACY104" s="97"/>
      <c r="ACZ104" s="97"/>
      <c r="ADA104" s="97"/>
      <c r="ADB104" s="97"/>
      <c r="ADC104" s="97"/>
      <c r="ADD104" s="97"/>
      <c r="ADE104" s="97"/>
      <c r="ADF104" s="97"/>
      <c r="ADG104" s="97"/>
      <c r="ADH104" s="97"/>
      <c r="ADI104" s="97"/>
      <c r="ADJ104" s="97"/>
      <c r="ADK104" s="97"/>
      <c r="ADL104" s="97"/>
      <c r="ADM104" s="97"/>
      <c r="ADN104" s="97"/>
      <c r="ADO104" s="97"/>
      <c r="ADP104" s="97"/>
      <c r="ADQ104" s="97"/>
      <c r="ADR104" s="97"/>
      <c r="ADS104" s="97"/>
      <c r="ADT104" s="97"/>
      <c r="ADU104" s="97"/>
      <c r="ADV104" s="97"/>
      <c r="ADW104" s="97"/>
      <c r="ADX104" s="97"/>
      <c r="ADY104" s="97"/>
      <c r="ADZ104" s="97"/>
      <c r="AEA104" s="97"/>
      <c r="AEB104" s="97"/>
      <c r="AEC104" s="97"/>
      <c r="AED104" s="97"/>
      <c r="AEE104" s="97"/>
      <c r="AEF104" s="97"/>
      <c r="AEG104" s="97"/>
      <c r="AEH104" s="97"/>
      <c r="AEI104" s="97"/>
      <c r="AEJ104" s="97"/>
      <c r="AEK104" s="97"/>
      <c r="AEL104" s="97"/>
      <c r="AEM104" s="97"/>
      <c r="AEN104" s="97"/>
      <c r="AEO104" s="97"/>
      <c r="AEP104" s="97"/>
      <c r="AEQ104" s="97"/>
      <c r="AER104" s="97"/>
      <c r="AES104" s="97"/>
      <c r="AET104" s="97"/>
      <c r="AEU104" s="97"/>
      <c r="AEV104" s="97"/>
      <c r="AEW104" s="97"/>
      <c r="AEX104" s="97"/>
      <c r="AEY104" s="97"/>
      <c r="AEZ104" s="97"/>
      <c r="AFA104" s="97"/>
      <c r="AFB104" s="97"/>
      <c r="AFC104" s="97"/>
      <c r="AFD104" s="97"/>
      <c r="AFE104" s="97"/>
      <c r="AFF104" s="97"/>
      <c r="AFG104" s="97"/>
      <c r="AFH104" s="97"/>
      <c r="AFI104" s="97"/>
      <c r="AFJ104" s="97"/>
      <c r="AFK104" s="97"/>
      <c r="AFL104" s="97"/>
      <c r="AFM104" s="97"/>
      <c r="AFN104" s="97"/>
      <c r="AFO104" s="97"/>
      <c r="AFP104" s="97"/>
      <c r="AFQ104" s="97"/>
      <c r="AFR104" s="97"/>
      <c r="AFS104" s="97"/>
      <c r="AFT104" s="97"/>
      <c r="AFU104" s="97"/>
      <c r="AFV104" s="97"/>
      <c r="AFW104" s="97"/>
      <c r="AFX104" s="97"/>
      <c r="AFY104" s="97"/>
      <c r="AFZ104" s="97"/>
      <c r="AGA104" s="97"/>
      <c r="AGB104" s="97"/>
      <c r="AGC104" s="97"/>
      <c r="AGD104" s="97"/>
      <c r="AGE104" s="97"/>
      <c r="AGF104" s="97"/>
      <c r="AGG104" s="97"/>
      <c r="AGH104" s="97"/>
      <c r="AGI104" s="97"/>
      <c r="AGJ104" s="97"/>
      <c r="AGK104" s="97"/>
      <c r="AGL104" s="97"/>
      <c r="AGM104" s="97"/>
      <c r="AGN104" s="97"/>
      <c r="AGO104" s="97"/>
      <c r="AGP104" s="97"/>
      <c r="AGQ104" s="97"/>
      <c r="AGR104" s="97"/>
      <c r="AGS104" s="97"/>
      <c r="AGT104" s="97"/>
      <c r="AGU104" s="97"/>
      <c r="AGV104" s="97"/>
      <c r="AGW104" s="97"/>
      <c r="AGX104" s="97"/>
      <c r="AGY104" s="97"/>
      <c r="AGZ104" s="97"/>
      <c r="AHA104" s="97"/>
      <c r="AHB104" s="97"/>
      <c r="AHC104" s="97"/>
      <c r="AHD104" s="97"/>
      <c r="AHE104" s="97"/>
      <c r="AHF104" s="97"/>
      <c r="AHG104" s="97"/>
      <c r="AHH104" s="97"/>
      <c r="AHI104" s="97"/>
      <c r="AHJ104" s="97"/>
      <c r="AHK104" s="97"/>
      <c r="AHL104" s="97"/>
      <c r="AHM104" s="97"/>
      <c r="AHN104" s="97"/>
      <c r="AHO104" s="97"/>
      <c r="AHP104" s="97"/>
      <c r="AHQ104" s="97"/>
      <c r="AHR104" s="97"/>
      <c r="AHS104" s="97"/>
      <c r="AHT104" s="97"/>
      <c r="AHU104" s="97"/>
      <c r="AHV104" s="97"/>
      <c r="AHW104" s="97"/>
      <c r="AHX104" s="97"/>
      <c r="AHY104" s="97"/>
      <c r="AHZ104" s="97"/>
      <c r="AIA104" s="97"/>
      <c r="AIB104" s="97"/>
      <c r="AIC104" s="97"/>
      <c r="AID104" s="97"/>
      <c r="AIE104" s="97"/>
      <c r="AIF104" s="97"/>
      <c r="AIG104" s="97"/>
      <c r="AIH104" s="97"/>
      <c r="AII104" s="97"/>
      <c r="AIJ104" s="97"/>
      <c r="AIK104" s="97"/>
      <c r="AIL104" s="97"/>
      <c r="AIM104" s="97"/>
      <c r="AIN104" s="97"/>
      <c r="AIO104" s="97"/>
      <c r="AIP104" s="97"/>
      <c r="AIQ104" s="97"/>
      <c r="AIR104" s="97"/>
      <c r="AIS104" s="97"/>
      <c r="AIT104" s="97"/>
      <c r="AIU104" s="97"/>
      <c r="AIV104" s="97"/>
      <c r="AIW104" s="97"/>
      <c r="AIX104" s="97"/>
      <c r="AIY104" s="97"/>
      <c r="AIZ104" s="97"/>
      <c r="AJA104" s="97"/>
      <c r="AJB104" s="97"/>
      <c r="AJC104" s="97"/>
    </row>
    <row r="105" spans="1:939" s="275" customFormat="1" ht="135" outlineLevel="1" x14ac:dyDescent="0.25">
      <c r="A105" s="262">
        <v>66</v>
      </c>
      <c r="B105" s="263" t="s">
        <v>272</v>
      </c>
      <c r="C105" s="263" t="s">
        <v>326</v>
      </c>
      <c r="D105" s="263"/>
      <c r="E105" s="264"/>
      <c r="F105" s="264"/>
      <c r="G105" s="264"/>
      <c r="H105" s="264"/>
      <c r="I105" s="264"/>
      <c r="J105" s="264"/>
      <c r="K105" s="265"/>
      <c r="L105" s="265" t="s">
        <v>401</v>
      </c>
      <c r="M105" s="266" t="s">
        <v>51</v>
      </c>
      <c r="N105" s="267">
        <f>2000000000+7300000000</f>
        <v>9300000000</v>
      </c>
      <c r="O105" s="268">
        <f t="shared" si="19"/>
        <v>22974875.861557845</v>
      </c>
      <c r="P105" s="268">
        <f>9024295000</f>
        <v>9024295000</v>
      </c>
      <c r="Q105" s="269"/>
      <c r="R105" s="270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</f>
        <v>8809064589.2000065</v>
      </c>
      <c r="S105" s="270">
        <f>34040214.6+16030636.8+1797857.1+7375602.5+3983531.1+11814600.3+22459610.6+9668538.8+11671711.4+6908264.6+1329981.6</f>
        <v>127080549.39999999</v>
      </c>
      <c r="T105" s="270">
        <f>P105-R105</f>
        <v>215230410.79999352</v>
      </c>
      <c r="U105" s="271">
        <f t="shared" si="20"/>
        <v>531708.81395289779</v>
      </c>
      <c r="V105" s="272" t="s">
        <v>111</v>
      </c>
      <c r="W105" s="273"/>
      <c r="X105" s="274"/>
    </row>
    <row r="106" spans="1:939" s="114" customFormat="1" ht="175.5" outlineLevel="1" x14ac:dyDescent="0.25">
      <c r="A106" s="99">
        <v>67</v>
      </c>
      <c r="B106" s="303" t="s">
        <v>272</v>
      </c>
      <c r="C106" s="303" t="s">
        <v>273</v>
      </c>
      <c r="D106" s="303"/>
      <c r="E106" s="118"/>
      <c r="F106" s="118"/>
      <c r="G106" s="118"/>
      <c r="H106" s="118"/>
      <c r="I106" s="118"/>
      <c r="J106" s="118"/>
      <c r="K106" s="305" t="s">
        <v>328</v>
      </c>
      <c r="L106" s="305" t="s">
        <v>327</v>
      </c>
      <c r="M106" s="101" t="s">
        <v>51</v>
      </c>
      <c r="N106" s="22">
        <v>562500000</v>
      </c>
      <c r="O106" s="23">
        <f t="shared" si="19"/>
        <v>1389609.4271103535</v>
      </c>
      <c r="P106" s="23">
        <v>562500000</v>
      </c>
      <c r="Q106" s="121"/>
      <c r="R106" s="23"/>
      <c r="S106" s="23"/>
      <c r="T106" s="125">
        <f t="shared" ref="T106:T126" si="21">P106-R106</f>
        <v>562500000</v>
      </c>
      <c r="U106" s="105">
        <f t="shared" si="20"/>
        <v>1389609.4271103535</v>
      </c>
      <c r="V106" s="127" t="s">
        <v>111</v>
      </c>
      <c r="W106" s="117"/>
      <c r="X106" s="96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97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97"/>
      <c r="JT106" s="97"/>
      <c r="JU106" s="97"/>
      <c r="JV106" s="97"/>
      <c r="JW106" s="97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  <c r="TC106" s="97"/>
      <c r="TD106" s="97"/>
      <c r="TE106" s="97"/>
      <c r="TF106" s="97"/>
      <c r="TG106" s="97"/>
      <c r="TH106" s="97"/>
      <c r="TI106" s="97"/>
      <c r="TJ106" s="97"/>
      <c r="TK106" s="97"/>
      <c r="TL106" s="97"/>
      <c r="TM106" s="97"/>
      <c r="TN106" s="97"/>
      <c r="TO106" s="97"/>
      <c r="TP106" s="97"/>
      <c r="TQ106" s="97"/>
      <c r="TR106" s="97"/>
      <c r="TS106" s="97"/>
      <c r="TT106" s="97"/>
      <c r="TU106" s="97"/>
      <c r="TV106" s="97"/>
      <c r="TW106" s="97"/>
      <c r="TX106" s="97"/>
      <c r="TY106" s="97"/>
      <c r="TZ106" s="97"/>
      <c r="UA106" s="97"/>
      <c r="UB106" s="97"/>
      <c r="UC106" s="97"/>
      <c r="UD106" s="97"/>
      <c r="UE106" s="97"/>
      <c r="UF106" s="97"/>
      <c r="UG106" s="97"/>
      <c r="UH106" s="97"/>
      <c r="UI106" s="97"/>
      <c r="UJ106" s="97"/>
      <c r="UK106" s="97"/>
      <c r="UL106" s="97"/>
      <c r="UM106" s="97"/>
      <c r="UN106" s="97"/>
      <c r="UO106" s="97"/>
      <c r="UP106" s="97"/>
      <c r="UQ106" s="97"/>
      <c r="UR106" s="97"/>
      <c r="US106" s="97"/>
      <c r="UT106" s="97"/>
      <c r="UU106" s="97"/>
      <c r="UV106" s="97"/>
      <c r="UW106" s="97"/>
      <c r="UX106" s="97"/>
      <c r="UY106" s="97"/>
      <c r="UZ106" s="97"/>
      <c r="VA106" s="97"/>
      <c r="VB106" s="97"/>
      <c r="VC106" s="97"/>
      <c r="VD106" s="97"/>
      <c r="VE106" s="97"/>
      <c r="VF106" s="97"/>
      <c r="VG106" s="97"/>
      <c r="VH106" s="97"/>
      <c r="VI106" s="97"/>
      <c r="VJ106" s="97"/>
      <c r="VK106" s="97"/>
      <c r="VL106" s="97"/>
      <c r="VM106" s="97"/>
      <c r="VN106" s="97"/>
      <c r="VO106" s="97"/>
      <c r="VP106" s="97"/>
      <c r="VQ106" s="97"/>
      <c r="VR106" s="97"/>
      <c r="VS106" s="97"/>
      <c r="VT106" s="97"/>
      <c r="VU106" s="97"/>
      <c r="VV106" s="97"/>
      <c r="VW106" s="97"/>
      <c r="VX106" s="97"/>
      <c r="VY106" s="97"/>
      <c r="VZ106" s="97"/>
      <c r="WA106" s="97"/>
      <c r="WB106" s="97"/>
      <c r="WC106" s="97"/>
      <c r="WD106" s="97"/>
      <c r="WE106" s="97"/>
      <c r="WF106" s="97"/>
      <c r="WG106" s="97"/>
      <c r="WH106" s="97"/>
      <c r="WI106" s="97"/>
      <c r="WJ106" s="97"/>
      <c r="WK106" s="97"/>
      <c r="WL106" s="97"/>
      <c r="WM106" s="97"/>
      <c r="WN106" s="97"/>
      <c r="WO106" s="97"/>
      <c r="WP106" s="97"/>
      <c r="WQ106" s="97"/>
      <c r="WR106" s="97"/>
      <c r="WS106" s="97"/>
      <c r="WT106" s="97"/>
      <c r="WU106" s="97"/>
      <c r="WV106" s="97"/>
      <c r="WW106" s="97"/>
      <c r="WX106" s="97"/>
      <c r="WY106" s="97"/>
      <c r="WZ106" s="97"/>
      <c r="XA106" s="97"/>
      <c r="XB106" s="97"/>
      <c r="XC106" s="97"/>
      <c r="XD106" s="97"/>
      <c r="XE106" s="97"/>
      <c r="XF106" s="97"/>
      <c r="XG106" s="97"/>
      <c r="XH106" s="97"/>
      <c r="XI106" s="97"/>
      <c r="XJ106" s="97"/>
      <c r="XK106" s="97"/>
      <c r="XL106" s="97"/>
      <c r="XM106" s="97"/>
      <c r="XN106" s="97"/>
      <c r="XO106" s="97"/>
      <c r="XP106" s="97"/>
      <c r="XQ106" s="97"/>
      <c r="XR106" s="97"/>
      <c r="XS106" s="97"/>
      <c r="XT106" s="97"/>
      <c r="XU106" s="97"/>
      <c r="XV106" s="97"/>
      <c r="XW106" s="97"/>
      <c r="XX106" s="97"/>
      <c r="XY106" s="97"/>
      <c r="XZ106" s="97"/>
      <c r="YA106" s="97"/>
      <c r="YB106" s="97"/>
      <c r="YC106" s="97"/>
      <c r="YD106" s="97"/>
      <c r="YE106" s="97"/>
      <c r="YF106" s="97"/>
      <c r="YG106" s="97"/>
      <c r="YH106" s="97"/>
      <c r="YI106" s="97"/>
      <c r="YJ106" s="97"/>
      <c r="YK106" s="97"/>
      <c r="YL106" s="97"/>
      <c r="YM106" s="97"/>
      <c r="YN106" s="97"/>
      <c r="YO106" s="97"/>
      <c r="YP106" s="97"/>
      <c r="YQ106" s="97"/>
      <c r="YR106" s="97"/>
      <c r="YS106" s="97"/>
      <c r="YT106" s="97"/>
      <c r="YU106" s="97"/>
      <c r="YV106" s="97"/>
      <c r="YW106" s="97"/>
      <c r="YX106" s="97"/>
      <c r="YY106" s="97"/>
      <c r="YZ106" s="97"/>
      <c r="ZA106" s="97"/>
      <c r="ZB106" s="97"/>
      <c r="ZC106" s="97"/>
      <c r="ZD106" s="97"/>
      <c r="ZE106" s="97"/>
      <c r="ZF106" s="97"/>
      <c r="ZG106" s="97"/>
      <c r="ZH106" s="97"/>
      <c r="ZI106" s="97"/>
      <c r="ZJ106" s="97"/>
      <c r="ZK106" s="97"/>
      <c r="ZL106" s="97"/>
      <c r="ZM106" s="97"/>
      <c r="ZN106" s="97"/>
      <c r="ZO106" s="97"/>
      <c r="ZP106" s="97"/>
      <c r="ZQ106" s="97"/>
      <c r="ZR106" s="97"/>
      <c r="ZS106" s="97"/>
      <c r="ZT106" s="97"/>
      <c r="ZU106" s="97"/>
      <c r="ZV106" s="97"/>
      <c r="ZW106" s="97"/>
      <c r="ZX106" s="97"/>
      <c r="ZY106" s="97"/>
      <c r="ZZ106" s="97"/>
      <c r="AAA106" s="97"/>
      <c r="AAB106" s="97"/>
      <c r="AAC106" s="97"/>
      <c r="AAD106" s="97"/>
      <c r="AAE106" s="97"/>
      <c r="AAF106" s="97"/>
      <c r="AAG106" s="97"/>
      <c r="AAH106" s="97"/>
      <c r="AAI106" s="97"/>
      <c r="AAJ106" s="97"/>
      <c r="AAK106" s="97"/>
      <c r="AAL106" s="97"/>
      <c r="AAM106" s="97"/>
      <c r="AAN106" s="97"/>
      <c r="AAO106" s="97"/>
      <c r="AAP106" s="97"/>
      <c r="AAQ106" s="97"/>
      <c r="AAR106" s="97"/>
      <c r="AAS106" s="97"/>
      <c r="AAT106" s="97"/>
      <c r="AAU106" s="97"/>
      <c r="AAV106" s="97"/>
      <c r="AAW106" s="97"/>
      <c r="AAX106" s="97"/>
      <c r="AAY106" s="97"/>
      <c r="AAZ106" s="97"/>
      <c r="ABA106" s="97"/>
      <c r="ABB106" s="97"/>
      <c r="ABC106" s="97"/>
      <c r="ABD106" s="97"/>
      <c r="ABE106" s="97"/>
      <c r="ABF106" s="97"/>
      <c r="ABG106" s="97"/>
      <c r="ABH106" s="97"/>
      <c r="ABI106" s="97"/>
      <c r="ABJ106" s="97"/>
      <c r="ABK106" s="97"/>
      <c r="ABL106" s="97"/>
      <c r="ABM106" s="97"/>
      <c r="ABN106" s="97"/>
      <c r="ABO106" s="97"/>
      <c r="ABP106" s="97"/>
      <c r="ABQ106" s="97"/>
      <c r="ABR106" s="97"/>
      <c r="ABS106" s="97"/>
      <c r="ABT106" s="97"/>
      <c r="ABU106" s="97"/>
      <c r="ABV106" s="97"/>
      <c r="ABW106" s="97"/>
      <c r="ABX106" s="97"/>
      <c r="ABY106" s="97"/>
      <c r="ABZ106" s="97"/>
      <c r="ACA106" s="97"/>
      <c r="ACB106" s="97"/>
      <c r="ACC106" s="97"/>
      <c r="ACD106" s="97"/>
      <c r="ACE106" s="97"/>
      <c r="ACF106" s="97"/>
      <c r="ACG106" s="97"/>
      <c r="ACH106" s="97"/>
      <c r="ACI106" s="97"/>
      <c r="ACJ106" s="97"/>
      <c r="ACK106" s="97"/>
      <c r="ACL106" s="97"/>
      <c r="ACM106" s="97"/>
      <c r="ACN106" s="97"/>
      <c r="ACO106" s="97"/>
      <c r="ACP106" s="97"/>
      <c r="ACQ106" s="97"/>
      <c r="ACR106" s="97"/>
      <c r="ACS106" s="97"/>
      <c r="ACT106" s="97"/>
      <c r="ACU106" s="97"/>
      <c r="ACV106" s="97"/>
      <c r="ACW106" s="97"/>
      <c r="ACX106" s="97"/>
      <c r="ACY106" s="97"/>
      <c r="ACZ106" s="97"/>
      <c r="ADA106" s="97"/>
      <c r="ADB106" s="97"/>
      <c r="ADC106" s="97"/>
      <c r="ADD106" s="97"/>
      <c r="ADE106" s="97"/>
      <c r="ADF106" s="97"/>
      <c r="ADG106" s="97"/>
      <c r="ADH106" s="97"/>
      <c r="ADI106" s="97"/>
      <c r="ADJ106" s="97"/>
      <c r="ADK106" s="97"/>
      <c r="ADL106" s="97"/>
      <c r="ADM106" s="97"/>
      <c r="ADN106" s="97"/>
      <c r="ADO106" s="97"/>
      <c r="ADP106" s="97"/>
      <c r="ADQ106" s="97"/>
      <c r="ADR106" s="97"/>
      <c r="ADS106" s="97"/>
      <c r="ADT106" s="97"/>
      <c r="ADU106" s="97"/>
      <c r="ADV106" s="97"/>
      <c r="ADW106" s="97"/>
      <c r="ADX106" s="97"/>
      <c r="ADY106" s="97"/>
      <c r="ADZ106" s="97"/>
      <c r="AEA106" s="97"/>
      <c r="AEB106" s="97"/>
      <c r="AEC106" s="97"/>
      <c r="AED106" s="97"/>
      <c r="AEE106" s="97"/>
      <c r="AEF106" s="97"/>
      <c r="AEG106" s="97"/>
      <c r="AEH106" s="97"/>
      <c r="AEI106" s="97"/>
      <c r="AEJ106" s="97"/>
      <c r="AEK106" s="97"/>
      <c r="AEL106" s="97"/>
      <c r="AEM106" s="97"/>
      <c r="AEN106" s="97"/>
      <c r="AEO106" s="97"/>
      <c r="AEP106" s="97"/>
      <c r="AEQ106" s="97"/>
      <c r="AER106" s="97"/>
      <c r="AES106" s="97"/>
      <c r="AET106" s="97"/>
      <c r="AEU106" s="97"/>
      <c r="AEV106" s="97"/>
      <c r="AEW106" s="97"/>
      <c r="AEX106" s="97"/>
      <c r="AEY106" s="97"/>
      <c r="AEZ106" s="97"/>
      <c r="AFA106" s="97"/>
      <c r="AFB106" s="97"/>
      <c r="AFC106" s="97"/>
      <c r="AFD106" s="97"/>
      <c r="AFE106" s="97"/>
      <c r="AFF106" s="97"/>
      <c r="AFG106" s="97"/>
      <c r="AFH106" s="97"/>
      <c r="AFI106" s="97"/>
      <c r="AFJ106" s="97"/>
      <c r="AFK106" s="97"/>
      <c r="AFL106" s="97"/>
      <c r="AFM106" s="97"/>
      <c r="AFN106" s="97"/>
      <c r="AFO106" s="97"/>
      <c r="AFP106" s="97"/>
      <c r="AFQ106" s="97"/>
      <c r="AFR106" s="97"/>
      <c r="AFS106" s="97"/>
      <c r="AFT106" s="97"/>
      <c r="AFU106" s="97"/>
      <c r="AFV106" s="97"/>
      <c r="AFW106" s="97"/>
      <c r="AFX106" s="97"/>
      <c r="AFY106" s="97"/>
      <c r="AFZ106" s="97"/>
      <c r="AGA106" s="97"/>
      <c r="AGB106" s="97"/>
      <c r="AGC106" s="97"/>
      <c r="AGD106" s="97"/>
      <c r="AGE106" s="97"/>
      <c r="AGF106" s="97"/>
      <c r="AGG106" s="97"/>
      <c r="AGH106" s="97"/>
      <c r="AGI106" s="97"/>
      <c r="AGJ106" s="97"/>
      <c r="AGK106" s="97"/>
      <c r="AGL106" s="97"/>
      <c r="AGM106" s="97"/>
      <c r="AGN106" s="97"/>
      <c r="AGO106" s="97"/>
      <c r="AGP106" s="97"/>
      <c r="AGQ106" s="97"/>
      <c r="AGR106" s="97"/>
      <c r="AGS106" s="97"/>
      <c r="AGT106" s="97"/>
      <c r="AGU106" s="97"/>
      <c r="AGV106" s="97"/>
      <c r="AGW106" s="97"/>
      <c r="AGX106" s="97"/>
      <c r="AGY106" s="97"/>
      <c r="AGZ106" s="97"/>
      <c r="AHA106" s="97"/>
      <c r="AHB106" s="97"/>
      <c r="AHC106" s="97"/>
      <c r="AHD106" s="97"/>
      <c r="AHE106" s="97"/>
      <c r="AHF106" s="97"/>
      <c r="AHG106" s="97"/>
      <c r="AHH106" s="97"/>
      <c r="AHI106" s="97"/>
      <c r="AHJ106" s="97"/>
      <c r="AHK106" s="97"/>
      <c r="AHL106" s="97"/>
      <c r="AHM106" s="97"/>
      <c r="AHN106" s="97"/>
      <c r="AHO106" s="97"/>
      <c r="AHP106" s="97"/>
      <c r="AHQ106" s="97"/>
      <c r="AHR106" s="97"/>
      <c r="AHS106" s="97"/>
      <c r="AHT106" s="97"/>
      <c r="AHU106" s="97"/>
      <c r="AHV106" s="97"/>
      <c r="AHW106" s="97"/>
      <c r="AHX106" s="97"/>
      <c r="AHY106" s="97"/>
      <c r="AHZ106" s="97"/>
      <c r="AIA106" s="97"/>
      <c r="AIB106" s="97"/>
      <c r="AIC106" s="97"/>
      <c r="AID106" s="97"/>
      <c r="AIE106" s="97"/>
      <c r="AIF106" s="97"/>
      <c r="AIG106" s="97"/>
      <c r="AIH106" s="97"/>
      <c r="AII106" s="97"/>
      <c r="AIJ106" s="97"/>
      <c r="AIK106" s="97"/>
      <c r="AIL106" s="97"/>
      <c r="AIM106" s="97"/>
      <c r="AIN106" s="97"/>
      <c r="AIO106" s="97"/>
      <c r="AIP106" s="97"/>
      <c r="AIQ106" s="97"/>
      <c r="AIR106" s="97"/>
      <c r="AIS106" s="97"/>
      <c r="AIT106" s="97"/>
      <c r="AIU106" s="97"/>
      <c r="AIV106" s="97"/>
      <c r="AIW106" s="97"/>
      <c r="AIX106" s="97"/>
      <c r="AIY106" s="97"/>
      <c r="AIZ106" s="97"/>
      <c r="AJA106" s="97"/>
      <c r="AJB106" s="97"/>
      <c r="AJC106" s="97"/>
    </row>
    <row r="107" spans="1:939" s="114" customFormat="1" ht="147" customHeight="1" outlineLevel="1" x14ac:dyDescent="0.25">
      <c r="A107" s="99">
        <v>68</v>
      </c>
      <c r="B107" s="481" t="s">
        <v>325</v>
      </c>
      <c r="C107" s="481" t="s">
        <v>321</v>
      </c>
      <c r="D107" s="303"/>
      <c r="E107" s="118"/>
      <c r="F107" s="118"/>
      <c r="G107" s="118"/>
      <c r="H107" s="118"/>
      <c r="I107" s="118"/>
      <c r="J107" s="118"/>
      <c r="K107" s="305" t="s">
        <v>329</v>
      </c>
      <c r="L107" s="305" t="s">
        <v>323</v>
      </c>
      <c r="M107" s="101" t="s">
        <v>51</v>
      </c>
      <c r="N107" s="22">
        <v>2000000000</v>
      </c>
      <c r="O107" s="23">
        <f t="shared" si="19"/>
        <v>4940833.5186145902</v>
      </c>
      <c r="P107" s="23">
        <v>2000000000</v>
      </c>
      <c r="Q107" s="116">
        <v>2.7E-2</v>
      </c>
      <c r="R107" s="280">
        <v>58766719</v>
      </c>
      <c r="S107" s="278">
        <f>68417269.8+13462993.2+49643.9+1421840.5+38566246.5+491534.9+1119195.4+178355+29883.2+10588.6+3022.3</f>
        <v>123750573.30000001</v>
      </c>
      <c r="T107" s="104">
        <f t="shared" si="21"/>
        <v>1941233281</v>
      </c>
      <c r="U107" s="22">
        <f t="shared" si="20"/>
        <v>4795655.2311074873</v>
      </c>
      <c r="V107" s="127" t="s">
        <v>111</v>
      </c>
      <c r="W107" s="117"/>
      <c r="X107" s="96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97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97"/>
      <c r="GB107" s="9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97"/>
      <c r="JI107" s="97"/>
      <c r="JJ107" s="97"/>
      <c r="JK107" s="97"/>
      <c r="JL107" s="97"/>
      <c r="JM107" s="97"/>
      <c r="JN107" s="97"/>
      <c r="JO107" s="97"/>
      <c r="JP107" s="97"/>
      <c r="JQ107" s="97"/>
      <c r="JR107" s="97"/>
      <c r="JS107" s="97"/>
      <c r="JT107" s="97"/>
      <c r="JU107" s="97"/>
      <c r="JV107" s="97"/>
      <c r="JW107" s="97"/>
      <c r="JX107" s="97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  <c r="TC107" s="97"/>
      <c r="TD107" s="97"/>
      <c r="TE107" s="97"/>
      <c r="TF107" s="97"/>
      <c r="TG107" s="97"/>
      <c r="TH107" s="97"/>
      <c r="TI107" s="97"/>
      <c r="TJ107" s="97"/>
      <c r="TK107" s="97"/>
      <c r="TL107" s="97"/>
      <c r="TM107" s="97"/>
      <c r="TN107" s="97"/>
      <c r="TO107" s="97"/>
      <c r="TP107" s="97"/>
      <c r="TQ107" s="97"/>
      <c r="TR107" s="97"/>
      <c r="TS107" s="97"/>
      <c r="TT107" s="97"/>
      <c r="TU107" s="97"/>
      <c r="TV107" s="97"/>
      <c r="TW107" s="97"/>
      <c r="TX107" s="97"/>
      <c r="TY107" s="97"/>
      <c r="TZ107" s="97"/>
      <c r="UA107" s="97"/>
      <c r="UB107" s="97"/>
      <c r="UC107" s="97"/>
      <c r="UD107" s="97"/>
      <c r="UE107" s="97"/>
      <c r="UF107" s="97"/>
      <c r="UG107" s="97"/>
      <c r="UH107" s="97"/>
      <c r="UI107" s="97"/>
      <c r="UJ107" s="97"/>
      <c r="UK107" s="97"/>
      <c r="UL107" s="97"/>
      <c r="UM107" s="97"/>
      <c r="UN107" s="97"/>
      <c r="UO107" s="97"/>
      <c r="UP107" s="97"/>
      <c r="UQ107" s="97"/>
      <c r="UR107" s="97"/>
      <c r="US107" s="97"/>
      <c r="UT107" s="97"/>
      <c r="UU107" s="97"/>
      <c r="UV107" s="97"/>
      <c r="UW107" s="97"/>
      <c r="UX107" s="97"/>
      <c r="UY107" s="97"/>
      <c r="UZ107" s="97"/>
      <c r="VA107" s="97"/>
      <c r="VB107" s="97"/>
      <c r="VC107" s="97"/>
      <c r="VD107" s="97"/>
      <c r="VE107" s="97"/>
      <c r="VF107" s="97"/>
      <c r="VG107" s="97"/>
      <c r="VH107" s="97"/>
      <c r="VI107" s="97"/>
      <c r="VJ107" s="97"/>
      <c r="VK107" s="97"/>
      <c r="VL107" s="97"/>
      <c r="VM107" s="97"/>
      <c r="VN107" s="97"/>
      <c r="VO107" s="97"/>
      <c r="VP107" s="97"/>
      <c r="VQ107" s="97"/>
      <c r="VR107" s="97"/>
      <c r="VS107" s="97"/>
      <c r="VT107" s="97"/>
      <c r="VU107" s="97"/>
      <c r="VV107" s="97"/>
      <c r="VW107" s="97"/>
      <c r="VX107" s="97"/>
      <c r="VY107" s="97"/>
      <c r="VZ107" s="97"/>
      <c r="WA107" s="97"/>
      <c r="WB107" s="97"/>
      <c r="WC107" s="97"/>
      <c r="WD107" s="97"/>
      <c r="WE107" s="97"/>
      <c r="WF107" s="97"/>
      <c r="WG107" s="97"/>
      <c r="WH107" s="97"/>
      <c r="WI107" s="97"/>
      <c r="WJ107" s="97"/>
      <c r="WK107" s="97"/>
      <c r="WL107" s="97"/>
      <c r="WM107" s="97"/>
      <c r="WN107" s="97"/>
      <c r="WO107" s="97"/>
      <c r="WP107" s="97"/>
      <c r="WQ107" s="97"/>
      <c r="WR107" s="97"/>
      <c r="WS107" s="97"/>
      <c r="WT107" s="97"/>
      <c r="WU107" s="97"/>
      <c r="WV107" s="97"/>
      <c r="WW107" s="97"/>
      <c r="WX107" s="97"/>
      <c r="WY107" s="97"/>
      <c r="WZ107" s="97"/>
      <c r="XA107" s="97"/>
      <c r="XB107" s="97"/>
      <c r="XC107" s="97"/>
      <c r="XD107" s="97"/>
      <c r="XE107" s="97"/>
      <c r="XF107" s="97"/>
      <c r="XG107" s="97"/>
      <c r="XH107" s="97"/>
      <c r="XI107" s="97"/>
      <c r="XJ107" s="97"/>
      <c r="XK107" s="97"/>
      <c r="XL107" s="97"/>
      <c r="XM107" s="97"/>
      <c r="XN107" s="97"/>
      <c r="XO107" s="97"/>
      <c r="XP107" s="97"/>
      <c r="XQ107" s="97"/>
      <c r="XR107" s="97"/>
      <c r="XS107" s="97"/>
      <c r="XT107" s="97"/>
      <c r="XU107" s="97"/>
      <c r="XV107" s="97"/>
      <c r="XW107" s="97"/>
      <c r="XX107" s="97"/>
      <c r="XY107" s="97"/>
      <c r="XZ107" s="97"/>
      <c r="YA107" s="97"/>
      <c r="YB107" s="97"/>
      <c r="YC107" s="97"/>
      <c r="YD107" s="97"/>
      <c r="YE107" s="97"/>
      <c r="YF107" s="97"/>
      <c r="YG107" s="97"/>
      <c r="YH107" s="97"/>
      <c r="YI107" s="97"/>
      <c r="YJ107" s="97"/>
      <c r="YK107" s="97"/>
      <c r="YL107" s="97"/>
      <c r="YM107" s="97"/>
      <c r="YN107" s="97"/>
      <c r="YO107" s="97"/>
      <c r="YP107" s="97"/>
      <c r="YQ107" s="97"/>
      <c r="YR107" s="97"/>
      <c r="YS107" s="97"/>
      <c r="YT107" s="97"/>
      <c r="YU107" s="97"/>
      <c r="YV107" s="97"/>
      <c r="YW107" s="97"/>
      <c r="YX107" s="97"/>
      <c r="YY107" s="97"/>
      <c r="YZ107" s="97"/>
      <c r="ZA107" s="97"/>
      <c r="ZB107" s="97"/>
      <c r="ZC107" s="97"/>
      <c r="ZD107" s="97"/>
      <c r="ZE107" s="97"/>
      <c r="ZF107" s="97"/>
      <c r="ZG107" s="97"/>
      <c r="ZH107" s="97"/>
      <c r="ZI107" s="97"/>
      <c r="ZJ107" s="97"/>
      <c r="ZK107" s="97"/>
      <c r="ZL107" s="97"/>
      <c r="ZM107" s="97"/>
      <c r="ZN107" s="97"/>
      <c r="ZO107" s="97"/>
      <c r="ZP107" s="97"/>
      <c r="ZQ107" s="97"/>
      <c r="ZR107" s="97"/>
      <c r="ZS107" s="97"/>
      <c r="ZT107" s="97"/>
      <c r="ZU107" s="97"/>
      <c r="ZV107" s="97"/>
      <c r="ZW107" s="97"/>
      <c r="ZX107" s="97"/>
      <c r="ZY107" s="97"/>
      <c r="ZZ107" s="97"/>
      <c r="AAA107" s="97"/>
      <c r="AAB107" s="97"/>
      <c r="AAC107" s="97"/>
      <c r="AAD107" s="97"/>
      <c r="AAE107" s="97"/>
      <c r="AAF107" s="97"/>
      <c r="AAG107" s="97"/>
      <c r="AAH107" s="97"/>
      <c r="AAI107" s="97"/>
      <c r="AAJ107" s="97"/>
      <c r="AAK107" s="97"/>
      <c r="AAL107" s="97"/>
      <c r="AAM107" s="97"/>
      <c r="AAN107" s="97"/>
      <c r="AAO107" s="97"/>
      <c r="AAP107" s="97"/>
      <c r="AAQ107" s="97"/>
      <c r="AAR107" s="97"/>
      <c r="AAS107" s="97"/>
      <c r="AAT107" s="97"/>
      <c r="AAU107" s="97"/>
      <c r="AAV107" s="97"/>
      <c r="AAW107" s="97"/>
      <c r="AAX107" s="97"/>
      <c r="AAY107" s="97"/>
      <c r="AAZ107" s="97"/>
      <c r="ABA107" s="97"/>
      <c r="ABB107" s="97"/>
      <c r="ABC107" s="97"/>
      <c r="ABD107" s="97"/>
      <c r="ABE107" s="97"/>
      <c r="ABF107" s="97"/>
      <c r="ABG107" s="97"/>
      <c r="ABH107" s="97"/>
      <c r="ABI107" s="97"/>
      <c r="ABJ107" s="97"/>
      <c r="ABK107" s="97"/>
      <c r="ABL107" s="97"/>
      <c r="ABM107" s="97"/>
      <c r="ABN107" s="97"/>
      <c r="ABO107" s="97"/>
      <c r="ABP107" s="97"/>
      <c r="ABQ107" s="97"/>
      <c r="ABR107" s="97"/>
      <c r="ABS107" s="97"/>
      <c r="ABT107" s="97"/>
      <c r="ABU107" s="97"/>
      <c r="ABV107" s="97"/>
      <c r="ABW107" s="97"/>
      <c r="ABX107" s="97"/>
      <c r="ABY107" s="97"/>
      <c r="ABZ107" s="97"/>
      <c r="ACA107" s="97"/>
      <c r="ACB107" s="97"/>
      <c r="ACC107" s="97"/>
      <c r="ACD107" s="97"/>
      <c r="ACE107" s="97"/>
      <c r="ACF107" s="97"/>
      <c r="ACG107" s="97"/>
      <c r="ACH107" s="97"/>
      <c r="ACI107" s="97"/>
      <c r="ACJ107" s="97"/>
      <c r="ACK107" s="97"/>
      <c r="ACL107" s="97"/>
      <c r="ACM107" s="97"/>
      <c r="ACN107" s="97"/>
      <c r="ACO107" s="97"/>
      <c r="ACP107" s="97"/>
      <c r="ACQ107" s="97"/>
      <c r="ACR107" s="97"/>
      <c r="ACS107" s="97"/>
      <c r="ACT107" s="97"/>
      <c r="ACU107" s="97"/>
      <c r="ACV107" s="97"/>
      <c r="ACW107" s="97"/>
      <c r="ACX107" s="97"/>
      <c r="ACY107" s="97"/>
      <c r="ACZ107" s="97"/>
      <c r="ADA107" s="97"/>
      <c r="ADB107" s="97"/>
      <c r="ADC107" s="97"/>
      <c r="ADD107" s="97"/>
      <c r="ADE107" s="97"/>
      <c r="ADF107" s="97"/>
      <c r="ADG107" s="97"/>
      <c r="ADH107" s="97"/>
      <c r="ADI107" s="97"/>
      <c r="ADJ107" s="97"/>
      <c r="ADK107" s="97"/>
      <c r="ADL107" s="97"/>
      <c r="ADM107" s="97"/>
      <c r="ADN107" s="97"/>
      <c r="ADO107" s="97"/>
      <c r="ADP107" s="97"/>
      <c r="ADQ107" s="97"/>
      <c r="ADR107" s="97"/>
      <c r="ADS107" s="97"/>
      <c r="ADT107" s="97"/>
      <c r="ADU107" s="97"/>
      <c r="ADV107" s="97"/>
      <c r="ADW107" s="97"/>
      <c r="ADX107" s="97"/>
      <c r="ADY107" s="97"/>
      <c r="ADZ107" s="97"/>
      <c r="AEA107" s="97"/>
      <c r="AEB107" s="97"/>
      <c r="AEC107" s="97"/>
      <c r="AED107" s="97"/>
      <c r="AEE107" s="97"/>
      <c r="AEF107" s="97"/>
      <c r="AEG107" s="97"/>
      <c r="AEH107" s="97"/>
      <c r="AEI107" s="97"/>
      <c r="AEJ107" s="97"/>
      <c r="AEK107" s="97"/>
      <c r="AEL107" s="97"/>
      <c r="AEM107" s="97"/>
      <c r="AEN107" s="97"/>
      <c r="AEO107" s="97"/>
      <c r="AEP107" s="97"/>
      <c r="AEQ107" s="97"/>
      <c r="AER107" s="97"/>
      <c r="AES107" s="97"/>
      <c r="AET107" s="97"/>
      <c r="AEU107" s="97"/>
      <c r="AEV107" s="97"/>
      <c r="AEW107" s="97"/>
      <c r="AEX107" s="97"/>
      <c r="AEY107" s="97"/>
      <c r="AEZ107" s="97"/>
      <c r="AFA107" s="97"/>
      <c r="AFB107" s="97"/>
      <c r="AFC107" s="97"/>
      <c r="AFD107" s="97"/>
      <c r="AFE107" s="97"/>
      <c r="AFF107" s="97"/>
      <c r="AFG107" s="97"/>
      <c r="AFH107" s="97"/>
      <c r="AFI107" s="97"/>
      <c r="AFJ107" s="97"/>
      <c r="AFK107" s="97"/>
      <c r="AFL107" s="97"/>
      <c r="AFM107" s="97"/>
      <c r="AFN107" s="97"/>
      <c r="AFO107" s="97"/>
      <c r="AFP107" s="97"/>
      <c r="AFQ107" s="97"/>
      <c r="AFR107" s="97"/>
      <c r="AFS107" s="97"/>
      <c r="AFT107" s="97"/>
      <c r="AFU107" s="97"/>
      <c r="AFV107" s="97"/>
      <c r="AFW107" s="97"/>
      <c r="AFX107" s="97"/>
      <c r="AFY107" s="97"/>
      <c r="AFZ107" s="97"/>
      <c r="AGA107" s="97"/>
      <c r="AGB107" s="97"/>
      <c r="AGC107" s="97"/>
      <c r="AGD107" s="97"/>
      <c r="AGE107" s="97"/>
      <c r="AGF107" s="97"/>
      <c r="AGG107" s="97"/>
      <c r="AGH107" s="97"/>
      <c r="AGI107" s="97"/>
      <c r="AGJ107" s="97"/>
      <c r="AGK107" s="97"/>
      <c r="AGL107" s="97"/>
      <c r="AGM107" s="97"/>
      <c r="AGN107" s="97"/>
      <c r="AGO107" s="97"/>
      <c r="AGP107" s="97"/>
      <c r="AGQ107" s="97"/>
      <c r="AGR107" s="97"/>
      <c r="AGS107" s="97"/>
      <c r="AGT107" s="97"/>
      <c r="AGU107" s="97"/>
      <c r="AGV107" s="97"/>
      <c r="AGW107" s="97"/>
      <c r="AGX107" s="97"/>
      <c r="AGY107" s="97"/>
      <c r="AGZ107" s="97"/>
      <c r="AHA107" s="97"/>
      <c r="AHB107" s="97"/>
      <c r="AHC107" s="97"/>
      <c r="AHD107" s="97"/>
      <c r="AHE107" s="97"/>
      <c r="AHF107" s="97"/>
      <c r="AHG107" s="97"/>
      <c r="AHH107" s="97"/>
      <c r="AHI107" s="97"/>
      <c r="AHJ107" s="97"/>
      <c r="AHK107" s="97"/>
      <c r="AHL107" s="97"/>
      <c r="AHM107" s="97"/>
      <c r="AHN107" s="97"/>
      <c r="AHO107" s="97"/>
      <c r="AHP107" s="97"/>
      <c r="AHQ107" s="97"/>
      <c r="AHR107" s="97"/>
      <c r="AHS107" s="97"/>
      <c r="AHT107" s="97"/>
      <c r="AHU107" s="97"/>
      <c r="AHV107" s="97"/>
      <c r="AHW107" s="97"/>
      <c r="AHX107" s="97"/>
      <c r="AHY107" s="97"/>
      <c r="AHZ107" s="97"/>
      <c r="AIA107" s="97"/>
      <c r="AIB107" s="97"/>
      <c r="AIC107" s="97"/>
      <c r="AID107" s="97"/>
      <c r="AIE107" s="97"/>
      <c r="AIF107" s="97"/>
      <c r="AIG107" s="97"/>
      <c r="AIH107" s="97"/>
      <c r="AII107" s="97"/>
      <c r="AIJ107" s="97"/>
      <c r="AIK107" s="97"/>
      <c r="AIL107" s="97"/>
      <c r="AIM107" s="97"/>
      <c r="AIN107" s="97"/>
      <c r="AIO107" s="97"/>
      <c r="AIP107" s="97"/>
      <c r="AIQ107" s="97"/>
      <c r="AIR107" s="97"/>
      <c r="AIS107" s="97"/>
      <c r="AIT107" s="97"/>
      <c r="AIU107" s="97"/>
      <c r="AIV107" s="97"/>
      <c r="AIW107" s="97"/>
      <c r="AIX107" s="97"/>
      <c r="AIY107" s="97"/>
      <c r="AIZ107" s="97"/>
      <c r="AJA107" s="97"/>
      <c r="AJB107" s="97"/>
      <c r="AJC107" s="97"/>
    </row>
    <row r="108" spans="1:939" s="114" customFormat="1" ht="144.75" customHeight="1" outlineLevel="1" x14ac:dyDescent="0.25">
      <c r="A108" s="99">
        <v>69</v>
      </c>
      <c r="B108" s="445"/>
      <c r="C108" s="445"/>
      <c r="D108" s="118"/>
      <c r="E108" s="118"/>
      <c r="F108" s="118"/>
      <c r="G108" s="118"/>
      <c r="H108" s="118"/>
      <c r="I108" s="118"/>
      <c r="J108" s="118"/>
      <c r="K108" s="305" t="s">
        <v>330</v>
      </c>
      <c r="L108" s="305" t="s">
        <v>324</v>
      </c>
      <c r="M108" s="304" t="s">
        <v>51</v>
      </c>
      <c r="N108" s="22">
        <v>2000000000</v>
      </c>
      <c r="O108" s="23">
        <f t="shared" si="19"/>
        <v>4940833.5186145902</v>
      </c>
      <c r="P108" s="23">
        <v>2000000000</v>
      </c>
      <c r="Q108" s="129">
        <v>5.7000000000000002E-2</v>
      </c>
      <c r="R108" s="23"/>
      <c r="S108" s="23">
        <f>153819379.6+28421448.8+780809.1+528470.5+2614769.3+283790.1+5159868.8+1406739.9</f>
        <v>193015276.10000002</v>
      </c>
      <c r="T108" s="104">
        <f t="shared" si="21"/>
        <v>2000000000</v>
      </c>
      <c r="U108" s="105">
        <f t="shared" si="20"/>
        <v>4940833.5186145902</v>
      </c>
      <c r="V108" s="127" t="s">
        <v>111</v>
      </c>
      <c r="W108" s="117"/>
      <c r="X108" s="96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97"/>
      <c r="JT108" s="97"/>
      <c r="JU108" s="97"/>
      <c r="JV108" s="97"/>
      <c r="JW108" s="97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  <c r="TC108" s="97"/>
      <c r="TD108" s="97"/>
      <c r="TE108" s="97"/>
      <c r="TF108" s="97"/>
      <c r="TG108" s="97"/>
      <c r="TH108" s="97"/>
      <c r="TI108" s="97"/>
      <c r="TJ108" s="97"/>
      <c r="TK108" s="97"/>
      <c r="TL108" s="97"/>
      <c r="TM108" s="97"/>
      <c r="TN108" s="97"/>
      <c r="TO108" s="97"/>
      <c r="TP108" s="97"/>
      <c r="TQ108" s="97"/>
      <c r="TR108" s="97"/>
      <c r="TS108" s="97"/>
      <c r="TT108" s="97"/>
      <c r="TU108" s="97"/>
      <c r="TV108" s="97"/>
      <c r="TW108" s="97"/>
      <c r="TX108" s="97"/>
      <c r="TY108" s="97"/>
      <c r="TZ108" s="97"/>
      <c r="UA108" s="97"/>
      <c r="UB108" s="97"/>
      <c r="UC108" s="97"/>
      <c r="UD108" s="97"/>
      <c r="UE108" s="97"/>
      <c r="UF108" s="97"/>
      <c r="UG108" s="97"/>
      <c r="UH108" s="97"/>
      <c r="UI108" s="97"/>
      <c r="UJ108" s="97"/>
      <c r="UK108" s="97"/>
      <c r="UL108" s="97"/>
      <c r="UM108" s="97"/>
      <c r="UN108" s="97"/>
      <c r="UO108" s="97"/>
      <c r="UP108" s="97"/>
      <c r="UQ108" s="97"/>
      <c r="UR108" s="97"/>
      <c r="US108" s="97"/>
      <c r="UT108" s="97"/>
      <c r="UU108" s="97"/>
      <c r="UV108" s="97"/>
      <c r="UW108" s="97"/>
      <c r="UX108" s="97"/>
      <c r="UY108" s="97"/>
      <c r="UZ108" s="97"/>
      <c r="VA108" s="97"/>
      <c r="VB108" s="97"/>
      <c r="VC108" s="97"/>
      <c r="VD108" s="97"/>
      <c r="VE108" s="97"/>
      <c r="VF108" s="97"/>
      <c r="VG108" s="97"/>
      <c r="VH108" s="97"/>
      <c r="VI108" s="97"/>
      <c r="VJ108" s="97"/>
      <c r="VK108" s="97"/>
      <c r="VL108" s="97"/>
      <c r="VM108" s="97"/>
      <c r="VN108" s="97"/>
      <c r="VO108" s="97"/>
      <c r="VP108" s="97"/>
      <c r="VQ108" s="97"/>
      <c r="VR108" s="97"/>
      <c r="VS108" s="97"/>
      <c r="VT108" s="97"/>
      <c r="VU108" s="97"/>
      <c r="VV108" s="97"/>
      <c r="VW108" s="97"/>
      <c r="VX108" s="97"/>
      <c r="VY108" s="97"/>
      <c r="VZ108" s="97"/>
      <c r="WA108" s="97"/>
      <c r="WB108" s="97"/>
      <c r="WC108" s="97"/>
      <c r="WD108" s="97"/>
      <c r="WE108" s="97"/>
      <c r="WF108" s="97"/>
      <c r="WG108" s="97"/>
      <c r="WH108" s="97"/>
      <c r="WI108" s="97"/>
      <c r="WJ108" s="97"/>
      <c r="WK108" s="97"/>
      <c r="WL108" s="97"/>
      <c r="WM108" s="97"/>
      <c r="WN108" s="97"/>
      <c r="WO108" s="97"/>
      <c r="WP108" s="97"/>
      <c r="WQ108" s="97"/>
      <c r="WR108" s="97"/>
      <c r="WS108" s="97"/>
      <c r="WT108" s="97"/>
      <c r="WU108" s="97"/>
      <c r="WV108" s="97"/>
      <c r="WW108" s="97"/>
      <c r="WX108" s="97"/>
      <c r="WY108" s="97"/>
      <c r="WZ108" s="97"/>
      <c r="XA108" s="97"/>
      <c r="XB108" s="97"/>
      <c r="XC108" s="97"/>
      <c r="XD108" s="97"/>
      <c r="XE108" s="97"/>
      <c r="XF108" s="97"/>
      <c r="XG108" s="97"/>
      <c r="XH108" s="97"/>
      <c r="XI108" s="97"/>
      <c r="XJ108" s="97"/>
      <c r="XK108" s="97"/>
      <c r="XL108" s="97"/>
      <c r="XM108" s="97"/>
      <c r="XN108" s="97"/>
      <c r="XO108" s="97"/>
      <c r="XP108" s="97"/>
      <c r="XQ108" s="97"/>
      <c r="XR108" s="97"/>
      <c r="XS108" s="97"/>
      <c r="XT108" s="97"/>
      <c r="XU108" s="97"/>
      <c r="XV108" s="97"/>
      <c r="XW108" s="97"/>
      <c r="XX108" s="97"/>
      <c r="XY108" s="97"/>
      <c r="XZ108" s="97"/>
      <c r="YA108" s="97"/>
      <c r="YB108" s="97"/>
      <c r="YC108" s="97"/>
      <c r="YD108" s="97"/>
      <c r="YE108" s="97"/>
      <c r="YF108" s="97"/>
      <c r="YG108" s="97"/>
      <c r="YH108" s="97"/>
      <c r="YI108" s="97"/>
      <c r="YJ108" s="97"/>
      <c r="YK108" s="97"/>
      <c r="YL108" s="97"/>
      <c r="YM108" s="97"/>
      <c r="YN108" s="97"/>
      <c r="YO108" s="97"/>
      <c r="YP108" s="97"/>
      <c r="YQ108" s="97"/>
      <c r="YR108" s="97"/>
      <c r="YS108" s="97"/>
      <c r="YT108" s="97"/>
      <c r="YU108" s="97"/>
      <c r="YV108" s="97"/>
      <c r="YW108" s="97"/>
      <c r="YX108" s="97"/>
      <c r="YY108" s="97"/>
      <c r="YZ108" s="97"/>
      <c r="ZA108" s="97"/>
      <c r="ZB108" s="97"/>
      <c r="ZC108" s="97"/>
      <c r="ZD108" s="97"/>
      <c r="ZE108" s="97"/>
      <c r="ZF108" s="97"/>
      <c r="ZG108" s="97"/>
      <c r="ZH108" s="97"/>
      <c r="ZI108" s="97"/>
      <c r="ZJ108" s="97"/>
      <c r="ZK108" s="97"/>
      <c r="ZL108" s="97"/>
      <c r="ZM108" s="97"/>
      <c r="ZN108" s="97"/>
      <c r="ZO108" s="97"/>
      <c r="ZP108" s="97"/>
      <c r="ZQ108" s="97"/>
      <c r="ZR108" s="97"/>
      <c r="ZS108" s="97"/>
      <c r="ZT108" s="97"/>
      <c r="ZU108" s="97"/>
      <c r="ZV108" s="97"/>
      <c r="ZW108" s="97"/>
      <c r="ZX108" s="97"/>
      <c r="ZY108" s="97"/>
      <c r="ZZ108" s="97"/>
      <c r="AAA108" s="97"/>
      <c r="AAB108" s="97"/>
      <c r="AAC108" s="97"/>
      <c r="AAD108" s="97"/>
      <c r="AAE108" s="97"/>
      <c r="AAF108" s="97"/>
      <c r="AAG108" s="97"/>
      <c r="AAH108" s="97"/>
      <c r="AAI108" s="97"/>
      <c r="AAJ108" s="97"/>
      <c r="AAK108" s="97"/>
      <c r="AAL108" s="97"/>
      <c r="AAM108" s="97"/>
      <c r="AAN108" s="97"/>
      <c r="AAO108" s="97"/>
      <c r="AAP108" s="97"/>
      <c r="AAQ108" s="97"/>
      <c r="AAR108" s="97"/>
      <c r="AAS108" s="97"/>
      <c r="AAT108" s="97"/>
      <c r="AAU108" s="97"/>
      <c r="AAV108" s="97"/>
      <c r="AAW108" s="97"/>
      <c r="AAX108" s="97"/>
      <c r="AAY108" s="97"/>
      <c r="AAZ108" s="97"/>
      <c r="ABA108" s="97"/>
      <c r="ABB108" s="97"/>
      <c r="ABC108" s="97"/>
      <c r="ABD108" s="97"/>
      <c r="ABE108" s="97"/>
      <c r="ABF108" s="97"/>
      <c r="ABG108" s="97"/>
      <c r="ABH108" s="97"/>
      <c r="ABI108" s="97"/>
      <c r="ABJ108" s="97"/>
      <c r="ABK108" s="97"/>
      <c r="ABL108" s="97"/>
      <c r="ABM108" s="97"/>
      <c r="ABN108" s="97"/>
      <c r="ABO108" s="97"/>
      <c r="ABP108" s="97"/>
      <c r="ABQ108" s="97"/>
      <c r="ABR108" s="97"/>
      <c r="ABS108" s="97"/>
      <c r="ABT108" s="97"/>
      <c r="ABU108" s="97"/>
      <c r="ABV108" s="97"/>
      <c r="ABW108" s="97"/>
      <c r="ABX108" s="97"/>
      <c r="ABY108" s="97"/>
      <c r="ABZ108" s="97"/>
      <c r="ACA108" s="97"/>
      <c r="ACB108" s="97"/>
      <c r="ACC108" s="97"/>
      <c r="ACD108" s="97"/>
      <c r="ACE108" s="97"/>
      <c r="ACF108" s="97"/>
      <c r="ACG108" s="97"/>
      <c r="ACH108" s="97"/>
      <c r="ACI108" s="97"/>
      <c r="ACJ108" s="97"/>
      <c r="ACK108" s="97"/>
      <c r="ACL108" s="97"/>
      <c r="ACM108" s="97"/>
      <c r="ACN108" s="97"/>
      <c r="ACO108" s="97"/>
      <c r="ACP108" s="97"/>
      <c r="ACQ108" s="97"/>
      <c r="ACR108" s="97"/>
      <c r="ACS108" s="97"/>
      <c r="ACT108" s="97"/>
      <c r="ACU108" s="97"/>
      <c r="ACV108" s="97"/>
      <c r="ACW108" s="97"/>
      <c r="ACX108" s="97"/>
      <c r="ACY108" s="97"/>
      <c r="ACZ108" s="97"/>
      <c r="ADA108" s="97"/>
      <c r="ADB108" s="97"/>
      <c r="ADC108" s="97"/>
      <c r="ADD108" s="97"/>
      <c r="ADE108" s="97"/>
      <c r="ADF108" s="97"/>
      <c r="ADG108" s="97"/>
      <c r="ADH108" s="97"/>
      <c r="ADI108" s="97"/>
      <c r="ADJ108" s="97"/>
      <c r="ADK108" s="97"/>
      <c r="ADL108" s="97"/>
      <c r="ADM108" s="97"/>
      <c r="ADN108" s="97"/>
      <c r="ADO108" s="97"/>
      <c r="ADP108" s="97"/>
      <c r="ADQ108" s="97"/>
      <c r="ADR108" s="97"/>
      <c r="ADS108" s="97"/>
      <c r="ADT108" s="97"/>
      <c r="ADU108" s="97"/>
      <c r="ADV108" s="97"/>
      <c r="ADW108" s="97"/>
      <c r="ADX108" s="97"/>
      <c r="ADY108" s="97"/>
      <c r="ADZ108" s="97"/>
      <c r="AEA108" s="97"/>
      <c r="AEB108" s="97"/>
      <c r="AEC108" s="97"/>
      <c r="AED108" s="97"/>
      <c r="AEE108" s="97"/>
      <c r="AEF108" s="97"/>
      <c r="AEG108" s="97"/>
      <c r="AEH108" s="97"/>
      <c r="AEI108" s="97"/>
      <c r="AEJ108" s="97"/>
      <c r="AEK108" s="97"/>
      <c r="AEL108" s="97"/>
      <c r="AEM108" s="97"/>
      <c r="AEN108" s="97"/>
      <c r="AEO108" s="97"/>
      <c r="AEP108" s="97"/>
      <c r="AEQ108" s="97"/>
      <c r="AER108" s="97"/>
      <c r="AES108" s="97"/>
      <c r="AET108" s="97"/>
      <c r="AEU108" s="97"/>
      <c r="AEV108" s="97"/>
      <c r="AEW108" s="97"/>
      <c r="AEX108" s="97"/>
      <c r="AEY108" s="97"/>
      <c r="AEZ108" s="97"/>
      <c r="AFA108" s="97"/>
      <c r="AFB108" s="97"/>
      <c r="AFC108" s="97"/>
      <c r="AFD108" s="97"/>
      <c r="AFE108" s="97"/>
      <c r="AFF108" s="97"/>
      <c r="AFG108" s="97"/>
      <c r="AFH108" s="97"/>
      <c r="AFI108" s="97"/>
      <c r="AFJ108" s="97"/>
      <c r="AFK108" s="97"/>
      <c r="AFL108" s="97"/>
      <c r="AFM108" s="97"/>
      <c r="AFN108" s="97"/>
      <c r="AFO108" s="97"/>
      <c r="AFP108" s="97"/>
      <c r="AFQ108" s="97"/>
      <c r="AFR108" s="97"/>
      <c r="AFS108" s="97"/>
      <c r="AFT108" s="97"/>
      <c r="AFU108" s="97"/>
      <c r="AFV108" s="97"/>
      <c r="AFW108" s="97"/>
      <c r="AFX108" s="97"/>
      <c r="AFY108" s="97"/>
      <c r="AFZ108" s="97"/>
      <c r="AGA108" s="97"/>
      <c r="AGB108" s="97"/>
      <c r="AGC108" s="97"/>
      <c r="AGD108" s="97"/>
      <c r="AGE108" s="97"/>
      <c r="AGF108" s="97"/>
      <c r="AGG108" s="97"/>
      <c r="AGH108" s="97"/>
      <c r="AGI108" s="97"/>
      <c r="AGJ108" s="97"/>
      <c r="AGK108" s="97"/>
      <c r="AGL108" s="97"/>
      <c r="AGM108" s="97"/>
      <c r="AGN108" s="97"/>
      <c r="AGO108" s="97"/>
      <c r="AGP108" s="97"/>
      <c r="AGQ108" s="97"/>
      <c r="AGR108" s="97"/>
      <c r="AGS108" s="97"/>
      <c r="AGT108" s="97"/>
      <c r="AGU108" s="97"/>
      <c r="AGV108" s="97"/>
      <c r="AGW108" s="97"/>
      <c r="AGX108" s="97"/>
      <c r="AGY108" s="97"/>
      <c r="AGZ108" s="97"/>
      <c r="AHA108" s="97"/>
      <c r="AHB108" s="97"/>
      <c r="AHC108" s="97"/>
      <c r="AHD108" s="97"/>
      <c r="AHE108" s="97"/>
      <c r="AHF108" s="97"/>
      <c r="AHG108" s="97"/>
      <c r="AHH108" s="97"/>
      <c r="AHI108" s="97"/>
      <c r="AHJ108" s="97"/>
      <c r="AHK108" s="97"/>
      <c r="AHL108" s="97"/>
      <c r="AHM108" s="97"/>
      <c r="AHN108" s="97"/>
      <c r="AHO108" s="97"/>
      <c r="AHP108" s="97"/>
      <c r="AHQ108" s="97"/>
      <c r="AHR108" s="97"/>
      <c r="AHS108" s="97"/>
      <c r="AHT108" s="97"/>
      <c r="AHU108" s="97"/>
      <c r="AHV108" s="97"/>
      <c r="AHW108" s="97"/>
      <c r="AHX108" s="97"/>
      <c r="AHY108" s="97"/>
      <c r="AHZ108" s="97"/>
      <c r="AIA108" s="97"/>
      <c r="AIB108" s="97"/>
      <c r="AIC108" s="97"/>
      <c r="AID108" s="97"/>
      <c r="AIE108" s="97"/>
      <c r="AIF108" s="97"/>
      <c r="AIG108" s="97"/>
      <c r="AIH108" s="97"/>
      <c r="AII108" s="97"/>
      <c r="AIJ108" s="97"/>
      <c r="AIK108" s="97"/>
      <c r="AIL108" s="97"/>
      <c r="AIM108" s="97"/>
      <c r="AIN108" s="97"/>
      <c r="AIO108" s="97"/>
      <c r="AIP108" s="97"/>
      <c r="AIQ108" s="97"/>
      <c r="AIR108" s="97"/>
      <c r="AIS108" s="97"/>
      <c r="AIT108" s="97"/>
      <c r="AIU108" s="97"/>
      <c r="AIV108" s="97"/>
      <c r="AIW108" s="97"/>
      <c r="AIX108" s="97"/>
      <c r="AIY108" s="97"/>
      <c r="AIZ108" s="97"/>
      <c r="AJA108" s="97"/>
      <c r="AJB108" s="97"/>
      <c r="AJC108" s="97"/>
    </row>
    <row r="109" spans="1:939" s="114" customFormat="1" ht="90.75" customHeight="1" outlineLevel="1" thickBot="1" x14ac:dyDescent="0.3">
      <c r="A109" s="130">
        <v>70</v>
      </c>
      <c r="B109" s="482"/>
      <c r="C109" s="482"/>
      <c r="D109" s="131"/>
      <c r="E109" s="132"/>
      <c r="F109" s="132"/>
      <c r="G109" s="132"/>
      <c r="H109" s="132"/>
      <c r="I109" s="132"/>
      <c r="J109" s="132"/>
      <c r="K109" s="305" t="s">
        <v>402</v>
      </c>
      <c r="L109" s="133" t="s">
        <v>353</v>
      </c>
      <c r="M109" s="134" t="s">
        <v>51</v>
      </c>
      <c r="N109" s="135">
        <v>5000000000</v>
      </c>
      <c r="O109" s="24">
        <f t="shared" si="19"/>
        <v>12352083.796536475</v>
      </c>
      <c r="P109" s="24">
        <v>5000000000</v>
      </c>
      <c r="Q109" s="136">
        <v>2.7E-2</v>
      </c>
      <c r="R109" s="24"/>
      <c r="S109" s="24">
        <f>34209157.5+76580313.4+83507353.3+1840160.7</f>
        <v>196136984.89999998</v>
      </c>
      <c r="T109" s="137">
        <f t="shared" si="21"/>
        <v>5000000000</v>
      </c>
      <c r="U109" s="138">
        <f t="shared" si="20"/>
        <v>12352083.796536475</v>
      </c>
      <c r="V109" s="127" t="s">
        <v>111</v>
      </c>
      <c r="W109" s="139"/>
      <c r="X109" s="96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97"/>
      <c r="JT109" s="97"/>
      <c r="JU109" s="97"/>
      <c r="JV109" s="97"/>
      <c r="JW109" s="97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  <c r="TC109" s="97"/>
      <c r="TD109" s="97"/>
      <c r="TE109" s="97"/>
      <c r="TF109" s="97"/>
      <c r="TG109" s="97"/>
      <c r="TH109" s="97"/>
      <c r="TI109" s="97"/>
      <c r="TJ109" s="97"/>
      <c r="TK109" s="97"/>
      <c r="TL109" s="97"/>
      <c r="TM109" s="97"/>
      <c r="TN109" s="97"/>
      <c r="TO109" s="97"/>
      <c r="TP109" s="97"/>
      <c r="TQ109" s="97"/>
      <c r="TR109" s="97"/>
      <c r="TS109" s="97"/>
      <c r="TT109" s="97"/>
      <c r="TU109" s="97"/>
      <c r="TV109" s="97"/>
      <c r="TW109" s="97"/>
      <c r="TX109" s="97"/>
      <c r="TY109" s="97"/>
      <c r="TZ109" s="97"/>
      <c r="UA109" s="97"/>
      <c r="UB109" s="97"/>
      <c r="UC109" s="97"/>
      <c r="UD109" s="97"/>
      <c r="UE109" s="97"/>
      <c r="UF109" s="97"/>
      <c r="UG109" s="97"/>
      <c r="UH109" s="97"/>
      <c r="UI109" s="97"/>
      <c r="UJ109" s="97"/>
      <c r="UK109" s="97"/>
      <c r="UL109" s="97"/>
      <c r="UM109" s="97"/>
      <c r="UN109" s="97"/>
      <c r="UO109" s="97"/>
      <c r="UP109" s="97"/>
      <c r="UQ109" s="97"/>
      <c r="UR109" s="97"/>
      <c r="US109" s="97"/>
      <c r="UT109" s="97"/>
      <c r="UU109" s="97"/>
      <c r="UV109" s="97"/>
      <c r="UW109" s="97"/>
      <c r="UX109" s="97"/>
      <c r="UY109" s="97"/>
      <c r="UZ109" s="97"/>
      <c r="VA109" s="97"/>
      <c r="VB109" s="97"/>
      <c r="VC109" s="97"/>
      <c r="VD109" s="97"/>
      <c r="VE109" s="97"/>
      <c r="VF109" s="97"/>
      <c r="VG109" s="97"/>
      <c r="VH109" s="97"/>
      <c r="VI109" s="97"/>
      <c r="VJ109" s="97"/>
      <c r="VK109" s="97"/>
      <c r="VL109" s="97"/>
      <c r="VM109" s="97"/>
      <c r="VN109" s="97"/>
      <c r="VO109" s="97"/>
      <c r="VP109" s="97"/>
      <c r="VQ109" s="97"/>
      <c r="VR109" s="97"/>
      <c r="VS109" s="97"/>
      <c r="VT109" s="97"/>
      <c r="VU109" s="97"/>
      <c r="VV109" s="97"/>
      <c r="VW109" s="97"/>
      <c r="VX109" s="97"/>
      <c r="VY109" s="97"/>
      <c r="VZ109" s="97"/>
      <c r="WA109" s="97"/>
      <c r="WB109" s="97"/>
      <c r="WC109" s="97"/>
      <c r="WD109" s="97"/>
      <c r="WE109" s="97"/>
      <c r="WF109" s="97"/>
      <c r="WG109" s="97"/>
      <c r="WH109" s="97"/>
      <c r="WI109" s="97"/>
      <c r="WJ109" s="97"/>
      <c r="WK109" s="97"/>
      <c r="WL109" s="97"/>
      <c r="WM109" s="97"/>
      <c r="WN109" s="97"/>
      <c r="WO109" s="97"/>
      <c r="WP109" s="97"/>
      <c r="WQ109" s="97"/>
      <c r="WR109" s="97"/>
      <c r="WS109" s="97"/>
      <c r="WT109" s="97"/>
      <c r="WU109" s="97"/>
      <c r="WV109" s="97"/>
      <c r="WW109" s="97"/>
      <c r="WX109" s="97"/>
      <c r="WY109" s="97"/>
      <c r="WZ109" s="97"/>
      <c r="XA109" s="97"/>
      <c r="XB109" s="97"/>
      <c r="XC109" s="97"/>
      <c r="XD109" s="97"/>
      <c r="XE109" s="97"/>
      <c r="XF109" s="97"/>
      <c r="XG109" s="97"/>
      <c r="XH109" s="97"/>
      <c r="XI109" s="97"/>
      <c r="XJ109" s="97"/>
      <c r="XK109" s="97"/>
      <c r="XL109" s="97"/>
      <c r="XM109" s="97"/>
      <c r="XN109" s="97"/>
      <c r="XO109" s="97"/>
      <c r="XP109" s="97"/>
      <c r="XQ109" s="97"/>
      <c r="XR109" s="97"/>
      <c r="XS109" s="97"/>
      <c r="XT109" s="97"/>
      <c r="XU109" s="97"/>
      <c r="XV109" s="97"/>
      <c r="XW109" s="97"/>
      <c r="XX109" s="97"/>
      <c r="XY109" s="97"/>
      <c r="XZ109" s="97"/>
      <c r="YA109" s="97"/>
      <c r="YB109" s="97"/>
      <c r="YC109" s="97"/>
      <c r="YD109" s="97"/>
      <c r="YE109" s="97"/>
      <c r="YF109" s="97"/>
      <c r="YG109" s="97"/>
      <c r="YH109" s="97"/>
      <c r="YI109" s="97"/>
      <c r="YJ109" s="97"/>
      <c r="YK109" s="97"/>
      <c r="YL109" s="97"/>
      <c r="YM109" s="97"/>
      <c r="YN109" s="97"/>
      <c r="YO109" s="97"/>
      <c r="YP109" s="97"/>
      <c r="YQ109" s="97"/>
      <c r="YR109" s="97"/>
      <c r="YS109" s="97"/>
      <c r="YT109" s="97"/>
      <c r="YU109" s="97"/>
      <c r="YV109" s="97"/>
      <c r="YW109" s="97"/>
      <c r="YX109" s="97"/>
      <c r="YY109" s="97"/>
      <c r="YZ109" s="97"/>
      <c r="ZA109" s="97"/>
      <c r="ZB109" s="97"/>
      <c r="ZC109" s="97"/>
      <c r="ZD109" s="97"/>
      <c r="ZE109" s="97"/>
      <c r="ZF109" s="97"/>
      <c r="ZG109" s="97"/>
      <c r="ZH109" s="97"/>
      <c r="ZI109" s="97"/>
      <c r="ZJ109" s="97"/>
      <c r="ZK109" s="97"/>
      <c r="ZL109" s="97"/>
      <c r="ZM109" s="97"/>
      <c r="ZN109" s="97"/>
      <c r="ZO109" s="97"/>
      <c r="ZP109" s="97"/>
      <c r="ZQ109" s="97"/>
      <c r="ZR109" s="97"/>
      <c r="ZS109" s="97"/>
      <c r="ZT109" s="97"/>
      <c r="ZU109" s="97"/>
      <c r="ZV109" s="97"/>
      <c r="ZW109" s="97"/>
      <c r="ZX109" s="97"/>
      <c r="ZY109" s="97"/>
      <c r="ZZ109" s="97"/>
      <c r="AAA109" s="97"/>
      <c r="AAB109" s="97"/>
      <c r="AAC109" s="97"/>
      <c r="AAD109" s="97"/>
      <c r="AAE109" s="97"/>
      <c r="AAF109" s="97"/>
      <c r="AAG109" s="97"/>
      <c r="AAH109" s="97"/>
      <c r="AAI109" s="97"/>
      <c r="AAJ109" s="97"/>
      <c r="AAK109" s="97"/>
      <c r="AAL109" s="97"/>
      <c r="AAM109" s="97"/>
      <c r="AAN109" s="97"/>
      <c r="AAO109" s="97"/>
      <c r="AAP109" s="97"/>
      <c r="AAQ109" s="97"/>
      <c r="AAR109" s="97"/>
      <c r="AAS109" s="97"/>
      <c r="AAT109" s="97"/>
      <c r="AAU109" s="97"/>
      <c r="AAV109" s="97"/>
      <c r="AAW109" s="97"/>
      <c r="AAX109" s="97"/>
      <c r="AAY109" s="97"/>
      <c r="AAZ109" s="97"/>
      <c r="ABA109" s="97"/>
      <c r="ABB109" s="97"/>
      <c r="ABC109" s="97"/>
      <c r="ABD109" s="97"/>
      <c r="ABE109" s="97"/>
      <c r="ABF109" s="97"/>
      <c r="ABG109" s="97"/>
      <c r="ABH109" s="97"/>
      <c r="ABI109" s="97"/>
      <c r="ABJ109" s="97"/>
      <c r="ABK109" s="97"/>
      <c r="ABL109" s="97"/>
      <c r="ABM109" s="97"/>
      <c r="ABN109" s="97"/>
      <c r="ABO109" s="97"/>
      <c r="ABP109" s="97"/>
      <c r="ABQ109" s="97"/>
      <c r="ABR109" s="97"/>
      <c r="ABS109" s="97"/>
      <c r="ABT109" s="97"/>
      <c r="ABU109" s="97"/>
      <c r="ABV109" s="97"/>
      <c r="ABW109" s="97"/>
      <c r="ABX109" s="97"/>
      <c r="ABY109" s="97"/>
      <c r="ABZ109" s="97"/>
      <c r="ACA109" s="97"/>
      <c r="ACB109" s="97"/>
      <c r="ACC109" s="97"/>
      <c r="ACD109" s="97"/>
      <c r="ACE109" s="97"/>
      <c r="ACF109" s="97"/>
      <c r="ACG109" s="97"/>
      <c r="ACH109" s="97"/>
      <c r="ACI109" s="97"/>
      <c r="ACJ109" s="97"/>
      <c r="ACK109" s="97"/>
      <c r="ACL109" s="97"/>
      <c r="ACM109" s="97"/>
      <c r="ACN109" s="97"/>
      <c r="ACO109" s="97"/>
      <c r="ACP109" s="97"/>
      <c r="ACQ109" s="97"/>
      <c r="ACR109" s="97"/>
      <c r="ACS109" s="97"/>
      <c r="ACT109" s="97"/>
      <c r="ACU109" s="97"/>
      <c r="ACV109" s="97"/>
      <c r="ACW109" s="97"/>
      <c r="ACX109" s="97"/>
      <c r="ACY109" s="97"/>
      <c r="ACZ109" s="97"/>
      <c r="ADA109" s="97"/>
      <c r="ADB109" s="97"/>
      <c r="ADC109" s="97"/>
      <c r="ADD109" s="97"/>
      <c r="ADE109" s="97"/>
      <c r="ADF109" s="97"/>
      <c r="ADG109" s="97"/>
      <c r="ADH109" s="97"/>
      <c r="ADI109" s="97"/>
      <c r="ADJ109" s="97"/>
      <c r="ADK109" s="97"/>
      <c r="ADL109" s="97"/>
      <c r="ADM109" s="97"/>
      <c r="ADN109" s="97"/>
      <c r="ADO109" s="97"/>
      <c r="ADP109" s="97"/>
      <c r="ADQ109" s="97"/>
      <c r="ADR109" s="97"/>
      <c r="ADS109" s="97"/>
      <c r="ADT109" s="97"/>
      <c r="ADU109" s="97"/>
      <c r="ADV109" s="97"/>
      <c r="ADW109" s="97"/>
      <c r="ADX109" s="97"/>
      <c r="ADY109" s="97"/>
      <c r="ADZ109" s="97"/>
      <c r="AEA109" s="97"/>
      <c r="AEB109" s="97"/>
      <c r="AEC109" s="97"/>
      <c r="AED109" s="97"/>
      <c r="AEE109" s="97"/>
      <c r="AEF109" s="97"/>
      <c r="AEG109" s="97"/>
      <c r="AEH109" s="97"/>
      <c r="AEI109" s="97"/>
      <c r="AEJ109" s="97"/>
      <c r="AEK109" s="97"/>
      <c r="AEL109" s="97"/>
      <c r="AEM109" s="97"/>
      <c r="AEN109" s="97"/>
      <c r="AEO109" s="97"/>
      <c r="AEP109" s="97"/>
      <c r="AEQ109" s="97"/>
      <c r="AER109" s="97"/>
      <c r="AES109" s="97"/>
      <c r="AET109" s="97"/>
      <c r="AEU109" s="97"/>
      <c r="AEV109" s="97"/>
      <c r="AEW109" s="97"/>
      <c r="AEX109" s="97"/>
      <c r="AEY109" s="97"/>
      <c r="AEZ109" s="97"/>
      <c r="AFA109" s="97"/>
      <c r="AFB109" s="97"/>
      <c r="AFC109" s="97"/>
      <c r="AFD109" s="97"/>
      <c r="AFE109" s="97"/>
      <c r="AFF109" s="97"/>
      <c r="AFG109" s="97"/>
      <c r="AFH109" s="97"/>
      <c r="AFI109" s="97"/>
      <c r="AFJ109" s="97"/>
      <c r="AFK109" s="97"/>
      <c r="AFL109" s="97"/>
      <c r="AFM109" s="97"/>
      <c r="AFN109" s="97"/>
      <c r="AFO109" s="97"/>
      <c r="AFP109" s="97"/>
      <c r="AFQ109" s="97"/>
      <c r="AFR109" s="97"/>
      <c r="AFS109" s="97"/>
      <c r="AFT109" s="97"/>
      <c r="AFU109" s="97"/>
      <c r="AFV109" s="97"/>
      <c r="AFW109" s="97"/>
      <c r="AFX109" s="97"/>
      <c r="AFY109" s="97"/>
      <c r="AFZ109" s="97"/>
      <c r="AGA109" s="97"/>
      <c r="AGB109" s="97"/>
      <c r="AGC109" s="97"/>
      <c r="AGD109" s="97"/>
      <c r="AGE109" s="97"/>
      <c r="AGF109" s="97"/>
      <c r="AGG109" s="97"/>
      <c r="AGH109" s="97"/>
      <c r="AGI109" s="97"/>
      <c r="AGJ109" s="97"/>
      <c r="AGK109" s="97"/>
      <c r="AGL109" s="97"/>
      <c r="AGM109" s="97"/>
      <c r="AGN109" s="97"/>
      <c r="AGO109" s="97"/>
      <c r="AGP109" s="97"/>
      <c r="AGQ109" s="97"/>
      <c r="AGR109" s="97"/>
      <c r="AGS109" s="97"/>
      <c r="AGT109" s="97"/>
      <c r="AGU109" s="97"/>
      <c r="AGV109" s="97"/>
      <c r="AGW109" s="97"/>
      <c r="AGX109" s="97"/>
      <c r="AGY109" s="97"/>
      <c r="AGZ109" s="97"/>
      <c r="AHA109" s="97"/>
      <c r="AHB109" s="97"/>
      <c r="AHC109" s="97"/>
      <c r="AHD109" s="97"/>
      <c r="AHE109" s="97"/>
      <c r="AHF109" s="97"/>
      <c r="AHG109" s="97"/>
      <c r="AHH109" s="97"/>
      <c r="AHI109" s="97"/>
      <c r="AHJ109" s="97"/>
      <c r="AHK109" s="97"/>
      <c r="AHL109" s="97"/>
      <c r="AHM109" s="97"/>
      <c r="AHN109" s="97"/>
      <c r="AHO109" s="97"/>
      <c r="AHP109" s="97"/>
      <c r="AHQ109" s="97"/>
      <c r="AHR109" s="97"/>
      <c r="AHS109" s="97"/>
      <c r="AHT109" s="97"/>
      <c r="AHU109" s="97"/>
      <c r="AHV109" s="97"/>
      <c r="AHW109" s="97"/>
      <c r="AHX109" s="97"/>
      <c r="AHY109" s="97"/>
      <c r="AHZ109" s="97"/>
      <c r="AIA109" s="97"/>
      <c r="AIB109" s="97"/>
      <c r="AIC109" s="97"/>
      <c r="AID109" s="97"/>
      <c r="AIE109" s="97"/>
      <c r="AIF109" s="97"/>
      <c r="AIG109" s="97"/>
      <c r="AIH109" s="97"/>
      <c r="AII109" s="97"/>
      <c r="AIJ109" s="97"/>
      <c r="AIK109" s="97"/>
      <c r="AIL109" s="97"/>
      <c r="AIM109" s="97"/>
      <c r="AIN109" s="97"/>
      <c r="AIO109" s="97"/>
      <c r="AIP109" s="97"/>
      <c r="AIQ109" s="97"/>
      <c r="AIR109" s="97"/>
      <c r="AIS109" s="97"/>
      <c r="AIT109" s="97"/>
      <c r="AIU109" s="97"/>
      <c r="AIV109" s="97"/>
      <c r="AIW109" s="97"/>
      <c r="AIX109" s="97"/>
      <c r="AIY109" s="97"/>
      <c r="AIZ109" s="97"/>
      <c r="AJA109" s="97"/>
      <c r="AJB109" s="97"/>
      <c r="AJC109" s="97"/>
    </row>
    <row r="110" spans="1:939" s="85" customFormat="1" ht="30" customHeight="1" x14ac:dyDescent="0.25">
      <c r="A110" s="461" t="s">
        <v>351</v>
      </c>
      <c r="B110" s="462"/>
      <c r="C110" s="462"/>
      <c r="D110" s="463" t="s">
        <v>30</v>
      </c>
      <c r="E110" s="464"/>
      <c r="F110" s="464"/>
      <c r="G110" s="464"/>
      <c r="H110" s="464"/>
      <c r="I110" s="464"/>
      <c r="J110" s="464"/>
      <c r="K110" s="464"/>
      <c r="L110" s="465"/>
      <c r="M110" s="140"/>
      <c r="N110" s="141">
        <f>SUMIF($M$104:$M$109,D110,$N$104:$N$109)</f>
        <v>0</v>
      </c>
      <c r="O110" s="141"/>
      <c r="P110" s="142">
        <f>SUMIF($M$104:$M$109,D110,$P$104:$P$109)</f>
        <v>0</v>
      </c>
      <c r="Q110" s="141"/>
      <c r="R110" s="142">
        <f>SUMIF($M$104:$M$109,D110,$R$104:$R$109)</f>
        <v>0</v>
      </c>
      <c r="S110" s="142">
        <f>SUMIF($M$104:$M$109,D110,$S$104:$S$109)</f>
        <v>0</v>
      </c>
      <c r="T110" s="141">
        <f>SUMIF($M$104:$M$109,D110,$T$104:$T$109)</f>
        <v>0</v>
      </c>
      <c r="U110" s="141"/>
      <c r="V110" s="83"/>
      <c r="W110" s="84"/>
      <c r="X110" s="96"/>
      <c r="Y110" s="97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  <c r="BQ110" s="68"/>
      <c r="BR110" s="68"/>
      <c r="BS110" s="68"/>
      <c r="BT110" s="68"/>
      <c r="BU110" s="68"/>
      <c r="BV110" s="68"/>
      <c r="BW110" s="68"/>
      <c r="BX110" s="68"/>
      <c r="BY110" s="68"/>
      <c r="BZ110" s="68"/>
      <c r="CA110" s="68"/>
      <c r="CB110" s="68"/>
      <c r="CC110" s="68"/>
      <c r="CD110" s="68"/>
      <c r="CE110" s="68"/>
      <c r="CF110" s="68"/>
      <c r="CG110" s="68"/>
      <c r="CH110" s="68"/>
      <c r="CI110" s="68"/>
      <c r="CJ110" s="68"/>
      <c r="CK110" s="68"/>
      <c r="CL110" s="68"/>
      <c r="CM110" s="68"/>
      <c r="CN110" s="68"/>
      <c r="CO110" s="68"/>
      <c r="CP110" s="68"/>
      <c r="CQ110" s="68"/>
      <c r="CR110" s="68"/>
      <c r="CS110" s="68"/>
      <c r="CT110" s="68"/>
      <c r="CU110" s="68"/>
      <c r="CV110" s="68"/>
      <c r="CW110" s="68"/>
      <c r="CX110" s="68"/>
      <c r="CY110" s="68"/>
      <c r="CZ110" s="68"/>
      <c r="DA110" s="68"/>
      <c r="DB110" s="68"/>
      <c r="DC110" s="68"/>
      <c r="DD110" s="68"/>
      <c r="DE110" s="68"/>
      <c r="DF110" s="68"/>
      <c r="DG110" s="68"/>
      <c r="DH110" s="68"/>
      <c r="DI110" s="68"/>
      <c r="DJ110" s="68"/>
      <c r="DK110" s="68"/>
      <c r="DL110" s="68"/>
      <c r="DM110" s="68"/>
      <c r="DN110" s="68"/>
      <c r="DO110" s="68"/>
      <c r="DP110" s="68"/>
      <c r="DQ110" s="68"/>
      <c r="DR110" s="68"/>
      <c r="DS110" s="68"/>
      <c r="DT110" s="68"/>
      <c r="DU110" s="68"/>
      <c r="DV110" s="68"/>
      <c r="DW110" s="68"/>
      <c r="DX110" s="68"/>
      <c r="DY110" s="68"/>
      <c r="DZ110" s="68"/>
      <c r="EA110" s="68"/>
      <c r="EB110" s="68"/>
      <c r="EC110" s="68"/>
      <c r="ED110" s="68"/>
      <c r="EE110" s="68"/>
      <c r="EF110" s="68"/>
      <c r="EG110" s="68"/>
      <c r="EH110" s="68"/>
      <c r="EI110" s="68"/>
      <c r="EJ110" s="68"/>
      <c r="EK110" s="68"/>
      <c r="EL110" s="68"/>
      <c r="EM110" s="68"/>
      <c r="EN110" s="68"/>
      <c r="EO110" s="68"/>
      <c r="EP110" s="68"/>
      <c r="EQ110" s="68"/>
      <c r="ER110" s="68"/>
      <c r="ES110" s="68"/>
      <c r="ET110" s="68"/>
      <c r="EU110" s="68"/>
      <c r="EV110" s="68"/>
      <c r="EW110" s="68"/>
      <c r="EX110" s="68"/>
      <c r="EY110" s="68"/>
      <c r="EZ110" s="68"/>
      <c r="FA110" s="68"/>
      <c r="FB110" s="68"/>
      <c r="FC110" s="68"/>
      <c r="FD110" s="68"/>
      <c r="FE110" s="68"/>
      <c r="FF110" s="68"/>
      <c r="FG110" s="68"/>
      <c r="FH110" s="68"/>
      <c r="FI110" s="68"/>
      <c r="FJ110" s="68"/>
      <c r="FK110" s="68"/>
      <c r="FL110" s="68"/>
      <c r="FM110" s="68"/>
      <c r="FN110" s="68"/>
      <c r="FO110" s="68"/>
      <c r="FP110" s="68"/>
      <c r="FQ110" s="68"/>
      <c r="FR110" s="68"/>
      <c r="FS110" s="68"/>
      <c r="FT110" s="68"/>
      <c r="FU110" s="68"/>
      <c r="FV110" s="68"/>
      <c r="FW110" s="68"/>
      <c r="FX110" s="68"/>
      <c r="FY110" s="68"/>
      <c r="FZ110" s="68"/>
      <c r="GA110" s="68"/>
      <c r="GB110" s="68"/>
      <c r="GC110" s="68"/>
      <c r="GD110" s="68"/>
      <c r="GE110" s="68"/>
      <c r="GF110" s="68"/>
      <c r="GG110" s="68"/>
      <c r="GH110" s="68"/>
      <c r="GI110" s="68"/>
      <c r="GJ110" s="68"/>
      <c r="GK110" s="68"/>
      <c r="GL110" s="68"/>
      <c r="GM110" s="68"/>
      <c r="GN110" s="68"/>
      <c r="GO110" s="68"/>
      <c r="GP110" s="68"/>
      <c r="GQ110" s="68"/>
      <c r="GR110" s="68"/>
      <c r="GS110" s="68"/>
      <c r="GT110" s="68"/>
      <c r="GU110" s="68"/>
      <c r="GV110" s="68"/>
      <c r="GW110" s="68"/>
      <c r="GX110" s="68"/>
      <c r="GY110" s="68"/>
      <c r="GZ110" s="68"/>
      <c r="HA110" s="68"/>
      <c r="HB110" s="68"/>
      <c r="HC110" s="68"/>
      <c r="HD110" s="68"/>
      <c r="HE110" s="68"/>
      <c r="HF110" s="68"/>
      <c r="HG110" s="68"/>
      <c r="HH110" s="68"/>
      <c r="HI110" s="68"/>
      <c r="HJ110" s="68"/>
      <c r="HK110" s="68"/>
      <c r="HL110" s="68"/>
      <c r="HM110" s="68"/>
      <c r="HN110" s="68"/>
      <c r="HO110" s="68"/>
      <c r="HP110" s="68"/>
      <c r="HQ110" s="68"/>
      <c r="HR110" s="68"/>
      <c r="HS110" s="68"/>
      <c r="HT110" s="68"/>
      <c r="HU110" s="68"/>
      <c r="HV110" s="68"/>
      <c r="HW110" s="68"/>
      <c r="HX110" s="68"/>
      <c r="HY110" s="68"/>
      <c r="HZ110" s="68"/>
      <c r="IA110" s="68"/>
      <c r="IB110" s="68"/>
      <c r="IC110" s="68"/>
      <c r="ID110" s="68"/>
      <c r="IE110" s="68"/>
      <c r="IF110" s="68"/>
      <c r="IG110" s="68"/>
      <c r="IH110" s="68"/>
      <c r="II110" s="68"/>
      <c r="IJ110" s="68"/>
      <c r="IK110" s="68"/>
      <c r="IL110" s="68"/>
      <c r="IM110" s="68"/>
      <c r="IN110" s="68"/>
      <c r="IO110" s="68"/>
      <c r="IP110" s="68"/>
      <c r="IQ110" s="68"/>
      <c r="IR110" s="68"/>
      <c r="IS110" s="68"/>
      <c r="IT110" s="68"/>
      <c r="IU110" s="68"/>
      <c r="IV110" s="68"/>
      <c r="IW110" s="68"/>
      <c r="IX110" s="68"/>
      <c r="IY110" s="68"/>
      <c r="IZ110" s="68"/>
      <c r="JA110" s="68"/>
      <c r="JB110" s="68"/>
      <c r="JC110" s="68"/>
      <c r="JD110" s="68"/>
      <c r="JE110" s="68"/>
      <c r="JF110" s="68"/>
      <c r="JG110" s="68"/>
      <c r="JH110" s="68"/>
      <c r="JI110" s="68"/>
      <c r="JJ110" s="68"/>
      <c r="JK110" s="68"/>
      <c r="JL110" s="68"/>
      <c r="JM110" s="68"/>
      <c r="JN110" s="68"/>
      <c r="JO110" s="68"/>
      <c r="JP110" s="68"/>
      <c r="JQ110" s="68"/>
      <c r="JR110" s="68"/>
      <c r="JS110" s="68"/>
      <c r="JT110" s="68"/>
      <c r="JU110" s="68"/>
      <c r="JV110" s="68"/>
      <c r="JW110" s="68"/>
      <c r="JX110" s="68"/>
      <c r="JY110" s="68"/>
      <c r="JZ110" s="68"/>
      <c r="KA110" s="68"/>
      <c r="KB110" s="68"/>
      <c r="KC110" s="68"/>
      <c r="KD110" s="68"/>
      <c r="KE110" s="68"/>
      <c r="KF110" s="68"/>
      <c r="KG110" s="68"/>
      <c r="KH110" s="68"/>
      <c r="KI110" s="68"/>
      <c r="KJ110" s="68"/>
      <c r="KK110" s="68"/>
      <c r="KL110" s="68"/>
      <c r="KM110" s="68"/>
      <c r="KN110" s="68"/>
      <c r="KO110" s="68"/>
      <c r="KP110" s="68"/>
      <c r="KQ110" s="68"/>
      <c r="KR110" s="68"/>
      <c r="KS110" s="68"/>
      <c r="KT110" s="68"/>
      <c r="KU110" s="68"/>
      <c r="KV110" s="68"/>
      <c r="KW110" s="68"/>
      <c r="KX110" s="68"/>
      <c r="KY110" s="68"/>
      <c r="KZ110" s="68"/>
      <c r="LA110" s="68"/>
      <c r="LB110" s="68"/>
      <c r="LC110" s="68"/>
      <c r="LD110" s="68"/>
      <c r="LE110" s="68"/>
      <c r="LF110" s="68"/>
      <c r="LG110" s="68"/>
      <c r="LH110" s="68"/>
      <c r="LI110" s="68"/>
      <c r="LJ110" s="68"/>
      <c r="LK110" s="68"/>
      <c r="LL110" s="68"/>
      <c r="LM110" s="68"/>
      <c r="LN110" s="68"/>
      <c r="LO110" s="68"/>
      <c r="LP110" s="68"/>
      <c r="LQ110" s="68"/>
      <c r="LR110" s="68"/>
      <c r="LS110" s="68"/>
      <c r="LT110" s="68"/>
      <c r="LU110" s="68"/>
      <c r="LV110" s="68"/>
      <c r="LW110" s="68"/>
      <c r="LX110" s="68"/>
      <c r="LY110" s="68"/>
      <c r="LZ110" s="68"/>
      <c r="MA110" s="68"/>
      <c r="MB110" s="68"/>
      <c r="MC110" s="68"/>
      <c r="MD110" s="68"/>
      <c r="ME110" s="68"/>
      <c r="MF110" s="68"/>
      <c r="MG110" s="68"/>
      <c r="MH110" s="68"/>
      <c r="MI110" s="68"/>
      <c r="MJ110" s="68"/>
      <c r="MK110" s="68"/>
      <c r="ML110" s="68"/>
      <c r="MM110" s="68"/>
      <c r="MN110" s="68"/>
      <c r="MO110" s="68"/>
      <c r="MP110" s="68"/>
      <c r="MQ110" s="68"/>
      <c r="MR110" s="68"/>
      <c r="MS110" s="68"/>
      <c r="MT110" s="68"/>
      <c r="MU110" s="68"/>
      <c r="MV110" s="68"/>
      <c r="MW110" s="68"/>
      <c r="MX110" s="68"/>
      <c r="MY110" s="68"/>
      <c r="MZ110" s="68"/>
      <c r="NA110" s="68"/>
      <c r="NB110" s="68"/>
      <c r="NC110" s="68"/>
      <c r="ND110" s="68"/>
      <c r="NE110" s="68"/>
      <c r="NF110" s="68"/>
      <c r="NG110" s="68"/>
      <c r="NH110" s="68"/>
      <c r="NI110" s="68"/>
      <c r="NJ110" s="68"/>
      <c r="NK110" s="68"/>
      <c r="NL110" s="68"/>
      <c r="NM110" s="68"/>
      <c r="NN110" s="68"/>
      <c r="NO110" s="68"/>
      <c r="NP110" s="68"/>
      <c r="NQ110" s="68"/>
      <c r="NR110" s="68"/>
      <c r="NS110" s="68"/>
      <c r="NT110" s="68"/>
      <c r="NU110" s="68"/>
      <c r="NV110" s="68"/>
      <c r="NW110" s="68"/>
      <c r="NX110" s="68"/>
      <c r="NY110" s="68"/>
      <c r="NZ110" s="68"/>
      <c r="OA110" s="68"/>
      <c r="OB110" s="68"/>
      <c r="OC110" s="68"/>
      <c r="OD110" s="68"/>
      <c r="OE110" s="68"/>
      <c r="OF110" s="68"/>
      <c r="OG110" s="68"/>
      <c r="OH110" s="68"/>
      <c r="OI110" s="68"/>
      <c r="OJ110" s="68"/>
      <c r="OK110" s="68"/>
      <c r="OL110" s="68"/>
      <c r="OM110" s="68"/>
      <c r="ON110" s="68"/>
      <c r="OO110" s="68"/>
      <c r="OP110" s="68"/>
      <c r="OQ110" s="68"/>
      <c r="OR110" s="68"/>
      <c r="OS110" s="68"/>
      <c r="OT110" s="68"/>
      <c r="OU110" s="68"/>
      <c r="OV110" s="68"/>
      <c r="OW110" s="68"/>
      <c r="OX110" s="68"/>
      <c r="OY110" s="68"/>
      <c r="OZ110" s="68"/>
      <c r="PA110" s="68"/>
      <c r="PB110" s="68"/>
      <c r="PC110" s="68"/>
      <c r="PD110" s="68"/>
      <c r="PE110" s="68"/>
      <c r="PF110" s="68"/>
      <c r="PG110" s="68"/>
      <c r="PH110" s="68"/>
      <c r="PI110" s="68"/>
      <c r="PJ110" s="68"/>
      <c r="PK110" s="68"/>
      <c r="PL110" s="68"/>
      <c r="PM110" s="68"/>
      <c r="PN110" s="68"/>
      <c r="PO110" s="68"/>
      <c r="PP110" s="68"/>
      <c r="PQ110" s="68"/>
      <c r="PR110" s="68"/>
      <c r="PS110" s="68"/>
      <c r="PT110" s="68"/>
      <c r="PU110" s="68"/>
      <c r="PV110" s="68"/>
      <c r="PW110" s="68"/>
      <c r="PX110" s="68"/>
      <c r="PY110" s="68"/>
      <c r="PZ110" s="68"/>
      <c r="QA110" s="68"/>
      <c r="QB110" s="68"/>
      <c r="QC110" s="68"/>
      <c r="QD110" s="68"/>
      <c r="QE110" s="68"/>
      <c r="QF110" s="68"/>
      <c r="QG110" s="68"/>
      <c r="QH110" s="68"/>
      <c r="QI110" s="68"/>
      <c r="QJ110" s="68"/>
      <c r="QK110" s="68"/>
      <c r="QL110" s="68"/>
      <c r="QM110" s="68"/>
      <c r="QN110" s="68"/>
      <c r="QO110" s="68"/>
      <c r="QP110" s="68"/>
      <c r="QQ110" s="68"/>
      <c r="QR110" s="68"/>
      <c r="QS110" s="68"/>
      <c r="QT110" s="68"/>
      <c r="QU110" s="68"/>
      <c r="QV110" s="68"/>
      <c r="QW110" s="68"/>
      <c r="QX110" s="68"/>
      <c r="QY110" s="68"/>
      <c r="QZ110" s="68"/>
      <c r="RA110" s="68"/>
      <c r="RB110" s="68"/>
      <c r="RC110" s="68"/>
      <c r="RD110" s="68"/>
      <c r="RE110" s="68"/>
      <c r="RF110" s="68"/>
      <c r="RG110" s="68"/>
      <c r="RH110" s="68"/>
      <c r="RI110" s="68"/>
      <c r="RJ110" s="68"/>
      <c r="RK110" s="68"/>
      <c r="RL110" s="68"/>
      <c r="RM110" s="68"/>
      <c r="RN110" s="68"/>
      <c r="RO110" s="68"/>
      <c r="RP110" s="68"/>
      <c r="RQ110" s="68"/>
      <c r="RR110" s="68"/>
      <c r="RS110" s="68"/>
      <c r="RT110" s="68"/>
      <c r="RU110" s="68"/>
      <c r="RV110" s="68"/>
      <c r="RW110" s="68"/>
      <c r="RX110" s="68"/>
      <c r="RY110" s="68"/>
      <c r="RZ110" s="68"/>
      <c r="SA110" s="68"/>
      <c r="SB110" s="68"/>
      <c r="SC110" s="68"/>
      <c r="SD110" s="68"/>
      <c r="SE110" s="68"/>
      <c r="SF110" s="68"/>
      <c r="SG110" s="68"/>
      <c r="SH110" s="68"/>
      <c r="SI110" s="68"/>
      <c r="SJ110" s="68"/>
      <c r="SK110" s="68"/>
      <c r="SL110" s="68"/>
      <c r="SM110" s="68"/>
      <c r="SN110" s="68"/>
      <c r="SO110" s="68"/>
      <c r="SP110" s="68"/>
      <c r="SQ110" s="68"/>
      <c r="SR110" s="68"/>
      <c r="SS110" s="68"/>
      <c r="ST110" s="68"/>
      <c r="SU110" s="68"/>
      <c r="SV110" s="68"/>
      <c r="SW110" s="68"/>
      <c r="SX110" s="68"/>
      <c r="SY110" s="68"/>
      <c r="SZ110" s="68"/>
      <c r="TA110" s="68"/>
      <c r="TB110" s="68"/>
      <c r="TC110" s="68"/>
      <c r="TD110" s="68"/>
      <c r="TE110" s="68"/>
      <c r="TF110" s="68"/>
      <c r="TG110" s="68"/>
      <c r="TH110" s="68"/>
      <c r="TI110" s="68"/>
      <c r="TJ110" s="68"/>
      <c r="TK110" s="68"/>
      <c r="TL110" s="68"/>
      <c r="TM110" s="68"/>
      <c r="TN110" s="68"/>
      <c r="TO110" s="68"/>
      <c r="TP110" s="68"/>
      <c r="TQ110" s="68"/>
      <c r="TR110" s="68"/>
      <c r="TS110" s="68"/>
      <c r="TT110" s="68"/>
      <c r="TU110" s="68"/>
      <c r="TV110" s="68"/>
      <c r="TW110" s="68"/>
      <c r="TX110" s="68"/>
      <c r="TY110" s="68"/>
      <c r="TZ110" s="68"/>
      <c r="UA110" s="68"/>
      <c r="UB110" s="68"/>
      <c r="UC110" s="68"/>
      <c r="UD110" s="68"/>
      <c r="UE110" s="68"/>
      <c r="UF110" s="68"/>
      <c r="UG110" s="68"/>
      <c r="UH110" s="68"/>
      <c r="UI110" s="68"/>
      <c r="UJ110" s="68"/>
      <c r="UK110" s="68"/>
      <c r="UL110" s="68"/>
      <c r="UM110" s="68"/>
      <c r="UN110" s="68"/>
      <c r="UO110" s="68"/>
      <c r="UP110" s="68"/>
      <c r="UQ110" s="68"/>
      <c r="UR110" s="68"/>
      <c r="US110" s="68"/>
      <c r="UT110" s="68"/>
      <c r="UU110" s="68"/>
      <c r="UV110" s="68"/>
      <c r="UW110" s="68"/>
      <c r="UX110" s="68"/>
      <c r="UY110" s="68"/>
      <c r="UZ110" s="68"/>
      <c r="VA110" s="68"/>
      <c r="VB110" s="68"/>
      <c r="VC110" s="68"/>
      <c r="VD110" s="68"/>
      <c r="VE110" s="68"/>
      <c r="VF110" s="68"/>
      <c r="VG110" s="68"/>
      <c r="VH110" s="68"/>
      <c r="VI110" s="68"/>
      <c r="VJ110" s="68"/>
      <c r="VK110" s="68"/>
      <c r="VL110" s="68"/>
      <c r="VM110" s="68"/>
      <c r="VN110" s="68"/>
      <c r="VO110" s="68"/>
      <c r="VP110" s="68"/>
      <c r="VQ110" s="68"/>
      <c r="VR110" s="68"/>
      <c r="VS110" s="68"/>
      <c r="VT110" s="68"/>
      <c r="VU110" s="68"/>
      <c r="VV110" s="68"/>
      <c r="VW110" s="68"/>
      <c r="VX110" s="68"/>
      <c r="VY110" s="68"/>
      <c r="VZ110" s="68"/>
      <c r="WA110" s="68"/>
      <c r="WB110" s="68"/>
      <c r="WC110" s="68"/>
      <c r="WD110" s="68"/>
      <c r="WE110" s="68"/>
      <c r="WF110" s="68"/>
      <c r="WG110" s="68"/>
      <c r="WH110" s="68"/>
      <c r="WI110" s="68"/>
      <c r="WJ110" s="68"/>
      <c r="WK110" s="68"/>
      <c r="WL110" s="68"/>
      <c r="WM110" s="68"/>
      <c r="WN110" s="68"/>
      <c r="WO110" s="68"/>
      <c r="WP110" s="68"/>
      <c r="WQ110" s="68"/>
      <c r="WR110" s="68"/>
      <c r="WS110" s="68"/>
      <c r="WT110" s="68"/>
      <c r="WU110" s="68"/>
      <c r="WV110" s="68"/>
      <c r="WW110" s="68"/>
      <c r="WX110" s="68"/>
      <c r="WY110" s="68"/>
      <c r="WZ110" s="68"/>
      <c r="XA110" s="68"/>
      <c r="XB110" s="68"/>
      <c r="XC110" s="68"/>
      <c r="XD110" s="68"/>
      <c r="XE110" s="68"/>
      <c r="XF110" s="68"/>
      <c r="XG110" s="68"/>
      <c r="XH110" s="68"/>
      <c r="XI110" s="68"/>
      <c r="XJ110" s="68"/>
      <c r="XK110" s="68"/>
      <c r="XL110" s="68"/>
      <c r="XM110" s="68"/>
      <c r="XN110" s="68"/>
      <c r="XO110" s="68"/>
      <c r="XP110" s="68"/>
      <c r="XQ110" s="68"/>
      <c r="XR110" s="68"/>
      <c r="XS110" s="68"/>
      <c r="XT110" s="68"/>
      <c r="XU110" s="68"/>
      <c r="XV110" s="68"/>
      <c r="XW110" s="68"/>
      <c r="XX110" s="68"/>
      <c r="XY110" s="68"/>
      <c r="XZ110" s="68"/>
      <c r="YA110" s="68"/>
      <c r="YB110" s="68"/>
      <c r="YC110" s="68"/>
      <c r="YD110" s="68"/>
      <c r="YE110" s="68"/>
      <c r="YF110" s="68"/>
      <c r="YG110" s="68"/>
      <c r="YH110" s="68"/>
      <c r="YI110" s="68"/>
      <c r="YJ110" s="68"/>
      <c r="YK110" s="68"/>
      <c r="YL110" s="68"/>
      <c r="YM110" s="68"/>
      <c r="YN110" s="68"/>
      <c r="YO110" s="68"/>
      <c r="YP110" s="68"/>
      <c r="YQ110" s="68"/>
      <c r="YR110" s="68"/>
      <c r="YS110" s="68"/>
      <c r="YT110" s="68"/>
      <c r="YU110" s="68"/>
      <c r="YV110" s="68"/>
      <c r="YW110" s="68"/>
      <c r="YX110" s="68"/>
      <c r="YY110" s="68"/>
      <c r="YZ110" s="68"/>
      <c r="ZA110" s="68"/>
      <c r="ZB110" s="68"/>
      <c r="ZC110" s="68"/>
      <c r="ZD110" s="68"/>
      <c r="ZE110" s="68"/>
      <c r="ZF110" s="68"/>
      <c r="ZG110" s="68"/>
      <c r="ZH110" s="68"/>
      <c r="ZI110" s="68"/>
      <c r="ZJ110" s="68"/>
      <c r="ZK110" s="68"/>
      <c r="ZL110" s="68"/>
      <c r="ZM110" s="68"/>
      <c r="ZN110" s="68"/>
      <c r="ZO110" s="68"/>
      <c r="ZP110" s="68"/>
      <c r="ZQ110" s="68"/>
      <c r="ZR110" s="68"/>
      <c r="ZS110" s="68"/>
      <c r="ZT110" s="68"/>
      <c r="ZU110" s="68"/>
      <c r="ZV110" s="68"/>
      <c r="ZW110" s="68"/>
      <c r="ZX110" s="68"/>
      <c r="ZY110" s="68"/>
      <c r="ZZ110" s="68"/>
      <c r="AAA110" s="68"/>
      <c r="AAB110" s="68"/>
      <c r="AAC110" s="68"/>
      <c r="AAD110" s="68"/>
      <c r="AAE110" s="68"/>
      <c r="AAF110" s="68"/>
      <c r="AAG110" s="68"/>
      <c r="AAH110" s="68"/>
      <c r="AAI110" s="68"/>
      <c r="AAJ110" s="68"/>
      <c r="AAK110" s="68"/>
      <c r="AAL110" s="68"/>
      <c r="AAM110" s="68"/>
      <c r="AAN110" s="68"/>
      <c r="AAO110" s="68"/>
      <c r="AAP110" s="68"/>
      <c r="AAQ110" s="68"/>
      <c r="AAR110" s="68"/>
      <c r="AAS110" s="68"/>
      <c r="AAT110" s="68"/>
      <c r="AAU110" s="68"/>
      <c r="AAV110" s="68"/>
      <c r="AAW110" s="68"/>
      <c r="AAX110" s="68"/>
      <c r="AAY110" s="68"/>
      <c r="AAZ110" s="68"/>
      <c r="ABA110" s="68"/>
      <c r="ABB110" s="68"/>
      <c r="ABC110" s="68"/>
      <c r="ABD110" s="68"/>
      <c r="ABE110" s="68"/>
      <c r="ABF110" s="68"/>
      <c r="ABG110" s="68"/>
      <c r="ABH110" s="68"/>
      <c r="ABI110" s="68"/>
      <c r="ABJ110" s="68"/>
      <c r="ABK110" s="68"/>
      <c r="ABL110" s="68"/>
      <c r="ABM110" s="68"/>
      <c r="ABN110" s="68"/>
      <c r="ABO110" s="68"/>
      <c r="ABP110" s="68"/>
      <c r="ABQ110" s="68"/>
      <c r="ABR110" s="68"/>
      <c r="ABS110" s="68"/>
      <c r="ABT110" s="68"/>
      <c r="ABU110" s="68"/>
      <c r="ABV110" s="68"/>
      <c r="ABW110" s="68"/>
      <c r="ABX110" s="68"/>
      <c r="ABY110" s="68"/>
      <c r="ABZ110" s="68"/>
      <c r="ACA110" s="68"/>
      <c r="ACB110" s="68"/>
      <c r="ACC110" s="68"/>
      <c r="ACD110" s="68"/>
      <c r="ACE110" s="68"/>
      <c r="ACF110" s="68"/>
      <c r="ACG110" s="68"/>
      <c r="ACH110" s="68"/>
      <c r="ACI110" s="68"/>
      <c r="ACJ110" s="68"/>
      <c r="ACK110" s="68"/>
      <c r="ACL110" s="68"/>
      <c r="ACM110" s="68"/>
      <c r="ACN110" s="68"/>
      <c r="ACO110" s="68"/>
      <c r="ACP110" s="68"/>
      <c r="ACQ110" s="68"/>
      <c r="ACR110" s="68"/>
      <c r="ACS110" s="68"/>
      <c r="ACT110" s="68"/>
      <c r="ACU110" s="68"/>
      <c r="ACV110" s="68"/>
      <c r="ACW110" s="68"/>
      <c r="ACX110" s="68"/>
      <c r="ACY110" s="68"/>
      <c r="ACZ110" s="68"/>
      <c r="ADA110" s="68"/>
      <c r="ADB110" s="68"/>
      <c r="ADC110" s="68"/>
      <c r="ADD110" s="68"/>
      <c r="ADE110" s="68"/>
      <c r="ADF110" s="68"/>
      <c r="ADG110" s="68"/>
      <c r="ADH110" s="68"/>
      <c r="ADI110" s="68"/>
      <c r="ADJ110" s="68"/>
      <c r="ADK110" s="68"/>
      <c r="ADL110" s="68"/>
      <c r="ADM110" s="68"/>
      <c r="ADN110" s="68"/>
      <c r="ADO110" s="68"/>
      <c r="ADP110" s="68"/>
      <c r="ADQ110" s="68"/>
      <c r="ADR110" s="68"/>
      <c r="ADS110" s="68"/>
      <c r="ADT110" s="68"/>
      <c r="ADU110" s="68"/>
      <c r="ADV110" s="68"/>
      <c r="ADW110" s="68"/>
      <c r="ADX110" s="68"/>
      <c r="ADY110" s="68"/>
      <c r="ADZ110" s="68"/>
      <c r="AEA110" s="68"/>
      <c r="AEB110" s="68"/>
      <c r="AEC110" s="68"/>
      <c r="AED110" s="68"/>
      <c r="AEE110" s="68"/>
      <c r="AEF110" s="68"/>
      <c r="AEG110" s="68"/>
      <c r="AEH110" s="68"/>
      <c r="AEI110" s="68"/>
      <c r="AEJ110" s="68"/>
      <c r="AEK110" s="68"/>
      <c r="AEL110" s="68"/>
      <c r="AEM110" s="68"/>
      <c r="AEN110" s="68"/>
      <c r="AEO110" s="68"/>
      <c r="AEP110" s="68"/>
      <c r="AEQ110" s="68"/>
      <c r="AER110" s="68"/>
      <c r="AES110" s="68"/>
      <c r="AET110" s="68"/>
      <c r="AEU110" s="68"/>
      <c r="AEV110" s="68"/>
      <c r="AEW110" s="68"/>
      <c r="AEX110" s="68"/>
      <c r="AEY110" s="68"/>
      <c r="AEZ110" s="68"/>
      <c r="AFA110" s="68"/>
      <c r="AFB110" s="68"/>
      <c r="AFC110" s="68"/>
      <c r="AFD110" s="68"/>
      <c r="AFE110" s="68"/>
      <c r="AFF110" s="68"/>
      <c r="AFG110" s="68"/>
      <c r="AFH110" s="68"/>
      <c r="AFI110" s="68"/>
      <c r="AFJ110" s="68"/>
      <c r="AFK110" s="68"/>
      <c r="AFL110" s="68"/>
      <c r="AFM110" s="68"/>
      <c r="AFN110" s="68"/>
      <c r="AFO110" s="68"/>
      <c r="AFP110" s="68"/>
      <c r="AFQ110" s="68"/>
      <c r="AFR110" s="68"/>
      <c r="AFS110" s="68"/>
      <c r="AFT110" s="68"/>
      <c r="AFU110" s="68"/>
      <c r="AFV110" s="68"/>
      <c r="AFW110" s="68"/>
      <c r="AFX110" s="68"/>
      <c r="AFY110" s="68"/>
      <c r="AFZ110" s="68"/>
      <c r="AGA110" s="68"/>
      <c r="AGB110" s="68"/>
      <c r="AGC110" s="68"/>
      <c r="AGD110" s="68"/>
      <c r="AGE110" s="68"/>
      <c r="AGF110" s="68"/>
      <c r="AGG110" s="68"/>
      <c r="AGH110" s="68"/>
      <c r="AGI110" s="68"/>
      <c r="AGJ110" s="68"/>
      <c r="AGK110" s="68"/>
      <c r="AGL110" s="68"/>
      <c r="AGM110" s="68"/>
      <c r="AGN110" s="68"/>
      <c r="AGO110" s="68"/>
      <c r="AGP110" s="68"/>
      <c r="AGQ110" s="68"/>
      <c r="AGR110" s="68"/>
      <c r="AGS110" s="68"/>
      <c r="AGT110" s="68"/>
      <c r="AGU110" s="68"/>
      <c r="AGV110" s="68"/>
      <c r="AGW110" s="68"/>
      <c r="AGX110" s="68"/>
      <c r="AGY110" s="68"/>
      <c r="AGZ110" s="68"/>
      <c r="AHA110" s="68"/>
      <c r="AHB110" s="68"/>
      <c r="AHC110" s="68"/>
      <c r="AHD110" s="68"/>
      <c r="AHE110" s="68"/>
      <c r="AHF110" s="68"/>
      <c r="AHG110" s="68"/>
      <c r="AHH110" s="68"/>
      <c r="AHI110" s="68"/>
      <c r="AHJ110" s="68"/>
      <c r="AHK110" s="68"/>
      <c r="AHL110" s="68"/>
      <c r="AHM110" s="68"/>
      <c r="AHN110" s="68"/>
      <c r="AHO110" s="68"/>
      <c r="AHP110" s="68"/>
      <c r="AHQ110" s="68"/>
      <c r="AHR110" s="68"/>
      <c r="AHS110" s="68"/>
      <c r="AHT110" s="68"/>
      <c r="AHU110" s="68"/>
      <c r="AHV110" s="68"/>
      <c r="AHW110" s="68"/>
      <c r="AHX110" s="68"/>
      <c r="AHY110" s="68"/>
      <c r="AHZ110" s="68"/>
      <c r="AIA110" s="68"/>
      <c r="AIB110" s="68"/>
      <c r="AIC110" s="68"/>
      <c r="AID110" s="68"/>
      <c r="AIE110" s="68"/>
      <c r="AIF110" s="68"/>
      <c r="AIG110" s="68"/>
      <c r="AIH110" s="68"/>
      <c r="AII110" s="68"/>
      <c r="AIJ110" s="68"/>
      <c r="AIK110" s="68"/>
      <c r="AIL110" s="68"/>
      <c r="AIM110" s="68"/>
      <c r="AIN110" s="68"/>
      <c r="AIO110" s="68"/>
      <c r="AIP110" s="68"/>
      <c r="AIQ110" s="68"/>
      <c r="AIR110" s="68"/>
      <c r="AIS110" s="68"/>
      <c r="AIT110" s="68"/>
      <c r="AIU110" s="68"/>
      <c r="AIV110" s="68"/>
      <c r="AIW110" s="68"/>
      <c r="AIX110" s="68"/>
      <c r="AIY110" s="68"/>
      <c r="AIZ110" s="68"/>
      <c r="AJA110" s="68"/>
      <c r="AJB110" s="68"/>
      <c r="AJC110" s="68"/>
    </row>
    <row r="111" spans="1:939" s="85" customFormat="1" ht="27" customHeight="1" x14ac:dyDescent="0.25">
      <c r="A111" s="433"/>
      <c r="B111" s="434"/>
      <c r="C111" s="434"/>
      <c r="D111" s="466" t="s">
        <v>51</v>
      </c>
      <c r="E111" s="467"/>
      <c r="F111" s="467"/>
      <c r="G111" s="467"/>
      <c r="H111" s="467"/>
      <c r="I111" s="467"/>
      <c r="J111" s="467"/>
      <c r="K111" s="467"/>
      <c r="L111" s="468"/>
      <c r="M111" s="86"/>
      <c r="N111" s="141">
        <f>SUMIF($M$104:$M$109,D111,$N$104:$N$109)</f>
        <v>24909500000</v>
      </c>
      <c r="P111" s="88">
        <f>SUMIF($M$104:$M$109,D111,$P$104:$P$109)</f>
        <v>24586795000</v>
      </c>
      <c r="Q111" s="87"/>
      <c r="R111" s="88">
        <f>SUMIF($M$104:$M$109,D111,$R$104:$R$109)</f>
        <v>14853450900.100006</v>
      </c>
      <c r="S111" s="88">
        <f>SUMIF($M$104:$M$109,D111,$S$104:$S$109)</f>
        <v>639983383.70000005</v>
      </c>
      <c r="T111" s="87">
        <f>SUMIF($M$104:$M$109,D111,$T$104:$T$109)</f>
        <v>9733344099.8999939</v>
      </c>
      <c r="U111" s="87"/>
      <c r="V111" s="89"/>
      <c r="W111" s="90"/>
      <c r="X111" s="96"/>
      <c r="Y111" s="97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  <c r="BQ111" s="68"/>
      <c r="BR111" s="68"/>
      <c r="BS111" s="68"/>
      <c r="BT111" s="68"/>
      <c r="BU111" s="68"/>
      <c r="BV111" s="68"/>
      <c r="BW111" s="68"/>
      <c r="BX111" s="68"/>
      <c r="BY111" s="68"/>
      <c r="BZ111" s="68"/>
      <c r="CA111" s="68"/>
      <c r="CB111" s="68"/>
      <c r="CC111" s="68"/>
      <c r="CD111" s="68"/>
      <c r="CE111" s="68"/>
      <c r="CF111" s="68"/>
      <c r="CG111" s="68"/>
      <c r="CH111" s="68"/>
      <c r="CI111" s="68"/>
      <c r="CJ111" s="68"/>
      <c r="CK111" s="68"/>
      <c r="CL111" s="68"/>
      <c r="CM111" s="68"/>
      <c r="CN111" s="68"/>
      <c r="CO111" s="68"/>
      <c r="CP111" s="68"/>
      <c r="CQ111" s="68"/>
      <c r="CR111" s="68"/>
      <c r="CS111" s="68"/>
      <c r="CT111" s="68"/>
      <c r="CU111" s="68"/>
      <c r="CV111" s="68"/>
      <c r="CW111" s="68"/>
      <c r="CX111" s="68"/>
      <c r="CY111" s="68"/>
      <c r="CZ111" s="68"/>
      <c r="DA111" s="68"/>
      <c r="DB111" s="68"/>
      <c r="DC111" s="68"/>
      <c r="DD111" s="68"/>
      <c r="DE111" s="68"/>
      <c r="DF111" s="68"/>
      <c r="DG111" s="68"/>
      <c r="DH111" s="68"/>
      <c r="DI111" s="68"/>
      <c r="DJ111" s="68"/>
      <c r="DK111" s="68"/>
      <c r="DL111" s="68"/>
      <c r="DM111" s="68"/>
      <c r="DN111" s="68"/>
      <c r="DO111" s="68"/>
      <c r="DP111" s="68"/>
      <c r="DQ111" s="68"/>
      <c r="DR111" s="68"/>
      <c r="DS111" s="68"/>
      <c r="DT111" s="68"/>
      <c r="DU111" s="68"/>
      <c r="DV111" s="68"/>
      <c r="DW111" s="68"/>
      <c r="DX111" s="68"/>
      <c r="DY111" s="68"/>
      <c r="DZ111" s="68"/>
      <c r="EA111" s="68"/>
      <c r="EB111" s="68"/>
      <c r="EC111" s="68"/>
      <c r="ED111" s="68"/>
      <c r="EE111" s="68"/>
      <c r="EF111" s="68"/>
      <c r="EG111" s="68"/>
      <c r="EH111" s="68"/>
      <c r="EI111" s="68"/>
      <c r="EJ111" s="68"/>
      <c r="EK111" s="68"/>
      <c r="EL111" s="68"/>
      <c r="EM111" s="68"/>
      <c r="EN111" s="68"/>
      <c r="EO111" s="68"/>
      <c r="EP111" s="68"/>
      <c r="EQ111" s="68"/>
      <c r="ER111" s="68"/>
      <c r="ES111" s="68"/>
      <c r="ET111" s="68"/>
      <c r="EU111" s="68"/>
      <c r="EV111" s="68"/>
      <c r="EW111" s="68"/>
      <c r="EX111" s="68"/>
      <c r="EY111" s="68"/>
      <c r="EZ111" s="68"/>
      <c r="FA111" s="68"/>
      <c r="FB111" s="68"/>
      <c r="FC111" s="68"/>
      <c r="FD111" s="68"/>
      <c r="FE111" s="68"/>
      <c r="FF111" s="68"/>
      <c r="FG111" s="68"/>
      <c r="FH111" s="68"/>
      <c r="FI111" s="68"/>
      <c r="FJ111" s="68"/>
      <c r="FK111" s="68"/>
      <c r="FL111" s="68"/>
      <c r="FM111" s="68"/>
      <c r="FN111" s="68"/>
      <c r="FO111" s="68"/>
      <c r="FP111" s="68"/>
      <c r="FQ111" s="68"/>
      <c r="FR111" s="68"/>
      <c r="FS111" s="68"/>
      <c r="FT111" s="68"/>
      <c r="FU111" s="68"/>
      <c r="FV111" s="68"/>
      <c r="FW111" s="68"/>
      <c r="FX111" s="68"/>
      <c r="FY111" s="68"/>
      <c r="FZ111" s="68"/>
      <c r="GA111" s="68"/>
      <c r="GB111" s="68"/>
      <c r="GC111" s="68"/>
      <c r="GD111" s="68"/>
      <c r="GE111" s="68"/>
      <c r="GF111" s="68"/>
      <c r="GG111" s="68"/>
      <c r="GH111" s="68"/>
      <c r="GI111" s="68"/>
      <c r="GJ111" s="68"/>
      <c r="GK111" s="68"/>
      <c r="GL111" s="68"/>
      <c r="GM111" s="68"/>
      <c r="GN111" s="68"/>
      <c r="GO111" s="68"/>
      <c r="GP111" s="68"/>
      <c r="GQ111" s="68"/>
      <c r="GR111" s="68"/>
      <c r="GS111" s="68"/>
      <c r="GT111" s="68"/>
      <c r="GU111" s="68"/>
      <c r="GV111" s="68"/>
      <c r="GW111" s="68"/>
      <c r="GX111" s="68"/>
      <c r="GY111" s="68"/>
      <c r="GZ111" s="68"/>
      <c r="HA111" s="68"/>
      <c r="HB111" s="68"/>
      <c r="HC111" s="68"/>
      <c r="HD111" s="68"/>
      <c r="HE111" s="68"/>
      <c r="HF111" s="68"/>
      <c r="HG111" s="68"/>
      <c r="HH111" s="68"/>
      <c r="HI111" s="68"/>
      <c r="HJ111" s="68"/>
      <c r="HK111" s="68"/>
      <c r="HL111" s="68"/>
      <c r="HM111" s="68"/>
      <c r="HN111" s="68"/>
      <c r="HO111" s="68"/>
      <c r="HP111" s="68"/>
      <c r="HQ111" s="68"/>
      <c r="HR111" s="68"/>
      <c r="HS111" s="68"/>
      <c r="HT111" s="68"/>
      <c r="HU111" s="68"/>
      <c r="HV111" s="68"/>
      <c r="HW111" s="68"/>
      <c r="HX111" s="68"/>
      <c r="HY111" s="68"/>
      <c r="HZ111" s="68"/>
      <c r="IA111" s="68"/>
      <c r="IB111" s="68"/>
      <c r="IC111" s="68"/>
      <c r="ID111" s="68"/>
      <c r="IE111" s="68"/>
      <c r="IF111" s="68"/>
      <c r="IG111" s="68"/>
      <c r="IH111" s="68"/>
      <c r="II111" s="68"/>
      <c r="IJ111" s="68"/>
      <c r="IK111" s="68"/>
      <c r="IL111" s="68"/>
      <c r="IM111" s="68"/>
      <c r="IN111" s="68"/>
      <c r="IO111" s="68"/>
      <c r="IP111" s="68"/>
      <c r="IQ111" s="68"/>
      <c r="IR111" s="68"/>
      <c r="IS111" s="68"/>
      <c r="IT111" s="68"/>
      <c r="IU111" s="68"/>
      <c r="IV111" s="68"/>
      <c r="IW111" s="68"/>
      <c r="IX111" s="68"/>
      <c r="IY111" s="68"/>
      <c r="IZ111" s="68"/>
      <c r="JA111" s="68"/>
      <c r="JB111" s="68"/>
      <c r="JC111" s="68"/>
      <c r="JD111" s="68"/>
      <c r="JE111" s="68"/>
      <c r="JF111" s="68"/>
      <c r="JG111" s="68"/>
      <c r="JH111" s="68"/>
      <c r="JI111" s="68"/>
      <c r="JJ111" s="68"/>
      <c r="JK111" s="68"/>
      <c r="JL111" s="68"/>
      <c r="JM111" s="68"/>
      <c r="JN111" s="68"/>
      <c r="JO111" s="68"/>
      <c r="JP111" s="68"/>
      <c r="JQ111" s="68"/>
      <c r="JR111" s="68"/>
      <c r="JS111" s="68"/>
      <c r="JT111" s="68"/>
      <c r="JU111" s="68"/>
      <c r="JV111" s="68"/>
      <c r="JW111" s="68"/>
      <c r="JX111" s="68"/>
      <c r="JY111" s="68"/>
      <c r="JZ111" s="68"/>
      <c r="KA111" s="68"/>
      <c r="KB111" s="68"/>
      <c r="KC111" s="68"/>
      <c r="KD111" s="68"/>
      <c r="KE111" s="68"/>
      <c r="KF111" s="68"/>
      <c r="KG111" s="68"/>
      <c r="KH111" s="68"/>
      <c r="KI111" s="68"/>
      <c r="KJ111" s="68"/>
      <c r="KK111" s="68"/>
      <c r="KL111" s="68"/>
      <c r="KM111" s="68"/>
      <c r="KN111" s="68"/>
      <c r="KO111" s="68"/>
      <c r="KP111" s="68"/>
      <c r="KQ111" s="68"/>
      <c r="KR111" s="68"/>
      <c r="KS111" s="68"/>
      <c r="KT111" s="68"/>
      <c r="KU111" s="68"/>
      <c r="KV111" s="68"/>
      <c r="KW111" s="68"/>
      <c r="KX111" s="68"/>
      <c r="KY111" s="68"/>
      <c r="KZ111" s="68"/>
      <c r="LA111" s="68"/>
      <c r="LB111" s="68"/>
      <c r="LC111" s="68"/>
      <c r="LD111" s="68"/>
      <c r="LE111" s="68"/>
      <c r="LF111" s="68"/>
      <c r="LG111" s="68"/>
      <c r="LH111" s="68"/>
      <c r="LI111" s="68"/>
      <c r="LJ111" s="68"/>
      <c r="LK111" s="68"/>
      <c r="LL111" s="68"/>
      <c r="LM111" s="68"/>
      <c r="LN111" s="68"/>
      <c r="LO111" s="68"/>
      <c r="LP111" s="68"/>
      <c r="LQ111" s="68"/>
      <c r="LR111" s="68"/>
      <c r="LS111" s="68"/>
      <c r="LT111" s="68"/>
      <c r="LU111" s="68"/>
      <c r="LV111" s="68"/>
      <c r="LW111" s="68"/>
      <c r="LX111" s="68"/>
      <c r="LY111" s="68"/>
      <c r="LZ111" s="68"/>
      <c r="MA111" s="68"/>
      <c r="MB111" s="68"/>
      <c r="MC111" s="68"/>
      <c r="MD111" s="68"/>
      <c r="ME111" s="68"/>
      <c r="MF111" s="68"/>
      <c r="MG111" s="68"/>
      <c r="MH111" s="68"/>
      <c r="MI111" s="68"/>
      <c r="MJ111" s="68"/>
      <c r="MK111" s="68"/>
      <c r="ML111" s="68"/>
      <c r="MM111" s="68"/>
      <c r="MN111" s="68"/>
      <c r="MO111" s="68"/>
      <c r="MP111" s="68"/>
      <c r="MQ111" s="68"/>
      <c r="MR111" s="68"/>
      <c r="MS111" s="68"/>
      <c r="MT111" s="68"/>
      <c r="MU111" s="68"/>
      <c r="MV111" s="68"/>
      <c r="MW111" s="68"/>
      <c r="MX111" s="68"/>
      <c r="MY111" s="68"/>
      <c r="MZ111" s="68"/>
      <c r="NA111" s="68"/>
      <c r="NB111" s="68"/>
      <c r="NC111" s="68"/>
      <c r="ND111" s="68"/>
      <c r="NE111" s="68"/>
      <c r="NF111" s="68"/>
      <c r="NG111" s="68"/>
      <c r="NH111" s="68"/>
      <c r="NI111" s="68"/>
      <c r="NJ111" s="68"/>
      <c r="NK111" s="68"/>
      <c r="NL111" s="68"/>
      <c r="NM111" s="68"/>
      <c r="NN111" s="68"/>
      <c r="NO111" s="68"/>
      <c r="NP111" s="68"/>
      <c r="NQ111" s="68"/>
      <c r="NR111" s="68"/>
      <c r="NS111" s="68"/>
      <c r="NT111" s="68"/>
      <c r="NU111" s="68"/>
      <c r="NV111" s="68"/>
      <c r="NW111" s="68"/>
      <c r="NX111" s="68"/>
      <c r="NY111" s="68"/>
      <c r="NZ111" s="68"/>
      <c r="OA111" s="68"/>
      <c r="OB111" s="68"/>
      <c r="OC111" s="68"/>
      <c r="OD111" s="68"/>
      <c r="OE111" s="68"/>
      <c r="OF111" s="68"/>
      <c r="OG111" s="68"/>
      <c r="OH111" s="68"/>
      <c r="OI111" s="68"/>
      <c r="OJ111" s="68"/>
      <c r="OK111" s="68"/>
      <c r="OL111" s="68"/>
      <c r="OM111" s="68"/>
      <c r="ON111" s="68"/>
      <c r="OO111" s="68"/>
      <c r="OP111" s="68"/>
      <c r="OQ111" s="68"/>
      <c r="OR111" s="68"/>
      <c r="OS111" s="68"/>
      <c r="OT111" s="68"/>
      <c r="OU111" s="68"/>
      <c r="OV111" s="68"/>
      <c r="OW111" s="68"/>
      <c r="OX111" s="68"/>
      <c r="OY111" s="68"/>
      <c r="OZ111" s="68"/>
      <c r="PA111" s="68"/>
      <c r="PB111" s="68"/>
      <c r="PC111" s="68"/>
      <c r="PD111" s="68"/>
      <c r="PE111" s="68"/>
      <c r="PF111" s="68"/>
      <c r="PG111" s="68"/>
      <c r="PH111" s="68"/>
      <c r="PI111" s="68"/>
      <c r="PJ111" s="68"/>
      <c r="PK111" s="68"/>
      <c r="PL111" s="68"/>
      <c r="PM111" s="68"/>
      <c r="PN111" s="68"/>
      <c r="PO111" s="68"/>
      <c r="PP111" s="68"/>
      <c r="PQ111" s="68"/>
      <c r="PR111" s="68"/>
      <c r="PS111" s="68"/>
      <c r="PT111" s="68"/>
      <c r="PU111" s="68"/>
      <c r="PV111" s="68"/>
      <c r="PW111" s="68"/>
      <c r="PX111" s="68"/>
      <c r="PY111" s="68"/>
      <c r="PZ111" s="68"/>
      <c r="QA111" s="68"/>
      <c r="QB111" s="68"/>
      <c r="QC111" s="68"/>
      <c r="QD111" s="68"/>
      <c r="QE111" s="68"/>
      <c r="QF111" s="68"/>
      <c r="QG111" s="68"/>
      <c r="QH111" s="68"/>
      <c r="QI111" s="68"/>
      <c r="QJ111" s="68"/>
      <c r="QK111" s="68"/>
      <c r="QL111" s="68"/>
      <c r="QM111" s="68"/>
      <c r="QN111" s="68"/>
      <c r="QO111" s="68"/>
      <c r="QP111" s="68"/>
      <c r="QQ111" s="68"/>
      <c r="QR111" s="68"/>
      <c r="QS111" s="68"/>
      <c r="QT111" s="68"/>
      <c r="QU111" s="68"/>
      <c r="QV111" s="68"/>
      <c r="QW111" s="68"/>
      <c r="QX111" s="68"/>
      <c r="QY111" s="68"/>
      <c r="QZ111" s="68"/>
      <c r="RA111" s="68"/>
      <c r="RB111" s="68"/>
      <c r="RC111" s="68"/>
      <c r="RD111" s="68"/>
      <c r="RE111" s="68"/>
      <c r="RF111" s="68"/>
      <c r="RG111" s="68"/>
      <c r="RH111" s="68"/>
      <c r="RI111" s="68"/>
      <c r="RJ111" s="68"/>
      <c r="RK111" s="68"/>
      <c r="RL111" s="68"/>
      <c r="RM111" s="68"/>
      <c r="RN111" s="68"/>
      <c r="RO111" s="68"/>
      <c r="RP111" s="68"/>
      <c r="RQ111" s="68"/>
      <c r="RR111" s="68"/>
      <c r="RS111" s="68"/>
      <c r="RT111" s="68"/>
      <c r="RU111" s="68"/>
      <c r="RV111" s="68"/>
      <c r="RW111" s="68"/>
      <c r="RX111" s="68"/>
      <c r="RY111" s="68"/>
      <c r="RZ111" s="68"/>
      <c r="SA111" s="68"/>
      <c r="SB111" s="68"/>
      <c r="SC111" s="68"/>
      <c r="SD111" s="68"/>
      <c r="SE111" s="68"/>
      <c r="SF111" s="68"/>
      <c r="SG111" s="68"/>
      <c r="SH111" s="68"/>
      <c r="SI111" s="68"/>
      <c r="SJ111" s="68"/>
      <c r="SK111" s="68"/>
      <c r="SL111" s="68"/>
      <c r="SM111" s="68"/>
      <c r="SN111" s="68"/>
      <c r="SO111" s="68"/>
      <c r="SP111" s="68"/>
      <c r="SQ111" s="68"/>
      <c r="SR111" s="68"/>
      <c r="SS111" s="68"/>
      <c r="ST111" s="68"/>
      <c r="SU111" s="68"/>
      <c r="SV111" s="68"/>
      <c r="SW111" s="68"/>
      <c r="SX111" s="68"/>
      <c r="SY111" s="68"/>
      <c r="SZ111" s="68"/>
      <c r="TA111" s="68"/>
      <c r="TB111" s="68"/>
      <c r="TC111" s="68"/>
      <c r="TD111" s="68"/>
      <c r="TE111" s="68"/>
      <c r="TF111" s="68"/>
      <c r="TG111" s="68"/>
      <c r="TH111" s="68"/>
      <c r="TI111" s="68"/>
      <c r="TJ111" s="68"/>
      <c r="TK111" s="68"/>
      <c r="TL111" s="68"/>
      <c r="TM111" s="68"/>
      <c r="TN111" s="68"/>
      <c r="TO111" s="68"/>
      <c r="TP111" s="68"/>
      <c r="TQ111" s="68"/>
      <c r="TR111" s="68"/>
      <c r="TS111" s="68"/>
      <c r="TT111" s="68"/>
      <c r="TU111" s="68"/>
      <c r="TV111" s="68"/>
      <c r="TW111" s="68"/>
      <c r="TX111" s="68"/>
      <c r="TY111" s="68"/>
      <c r="TZ111" s="68"/>
      <c r="UA111" s="68"/>
      <c r="UB111" s="68"/>
      <c r="UC111" s="68"/>
      <c r="UD111" s="68"/>
      <c r="UE111" s="68"/>
      <c r="UF111" s="68"/>
      <c r="UG111" s="68"/>
      <c r="UH111" s="68"/>
      <c r="UI111" s="68"/>
      <c r="UJ111" s="68"/>
      <c r="UK111" s="68"/>
      <c r="UL111" s="68"/>
      <c r="UM111" s="68"/>
      <c r="UN111" s="68"/>
      <c r="UO111" s="68"/>
      <c r="UP111" s="68"/>
      <c r="UQ111" s="68"/>
      <c r="UR111" s="68"/>
      <c r="US111" s="68"/>
      <c r="UT111" s="68"/>
      <c r="UU111" s="68"/>
      <c r="UV111" s="68"/>
      <c r="UW111" s="68"/>
      <c r="UX111" s="68"/>
      <c r="UY111" s="68"/>
      <c r="UZ111" s="68"/>
      <c r="VA111" s="68"/>
      <c r="VB111" s="68"/>
      <c r="VC111" s="68"/>
      <c r="VD111" s="68"/>
      <c r="VE111" s="68"/>
      <c r="VF111" s="68"/>
      <c r="VG111" s="68"/>
      <c r="VH111" s="68"/>
      <c r="VI111" s="68"/>
      <c r="VJ111" s="68"/>
      <c r="VK111" s="68"/>
      <c r="VL111" s="68"/>
      <c r="VM111" s="68"/>
      <c r="VN111" s="68"/>
      <c r="VO111" s="68"/>
      <c r="VP111" s="68"/>
      <c r="VQ111" s="68"/>
      <c r="VR111" s="68"/>
      <c r="VS111" s="68"/>
      <c r="VT111" s="68"/>
      <c r="VU111" s="68"/>
      <c r="VV111" s="68"/>
      <c r="VW111" s="68"/>
      <c r="VX111" s="68"/>
      <c r="VY111" s="68"/>
      <c r="VZ111" s="68"/>
      <c r="WA111" s="68"/>
      <c r="WB111" s="68"/>
      <c r="WC111" s="68"/>
      <c r="WD111" s="68"/>
      <c r="WE111" s="68"/>
      <c r="WF111" s="68"/>
      <c r="WG111" s="68"/>
      <c r="WH111" s="68"/>
      <c r="WI111" s="68"/>
      <c r="WJ111" s="68"/>
      <c r="WK111" s="68"/>
      <c r="WL111" s="68"/>
      <c r="WM111" s="68"/>
      <c r="WN111" s="68"/>
      <c r="WO111" s="68"/>
      <c r="WP111" s="68"/>
      <c r="WQ111" s="68"/>
      <c r="WR111" s="68"/>
      <c r="WS111" s="68"/>
      <c r="WT111" s="68"/>
      <c r="WU111" s="68"/>
      <c r="WV111" s="68"/>
      <c r="WW111" s="68"/>
      <c r="WX111" s="68"/>
      <c r="WY111" s="68"/>
      <c r="WZ111" s="68"/>
      <c r="XA111" s="68"/>
      <c r="XB111" s="68"/>
      <c r="XC111" s="68"/>
      <c r="XD111" s="68"/>
      <c r="XE111" s="68"/>
      <c r="XF111" s="68"/>
      <c r="XG111" s="68"/>
      <c r="XH111" s="68"/>
      <c r="XI111" s="68"/>
      <c r="XJ111" s="68"/>
      <c r="XK111" s="68"/>
      <c r="XL111" s="68"/>
      <c r="XM111" s="68"/>
      <c r="XN111" s="68"/>
      <c r="XO111" s="68"/>
      <c r="XP111" s="68"/>
      <c r="XQ111" s="68"/>
      <c r="XR111" s="68"/>
      <c r="XS111" s="68"/>
      <c r="XT111" s="68"/>
      <c r="XU111" s="68"/>
      <c r="XV111" s="68"/>
      <c r="XW111" s="68"/>
      <c r="XX111" s="68"/>
      <c r="XY111" s="68"/>
      <c r="XZ111" s="68"/>
      <c r="YA111" s="68"/>
      <c r="YB111" s="68"/>
      <c r="YC111" s="68"/>
      <c r="YD111" s="68"/>
      <c r="YE111" s="68"/>
      <c r="YF111" s="68"/>
      <c r="YG111" s="68"/>
      <c r="YH111" s="68"/>
      <c r="YI111" s="68"/>
      <c r="YJ111" s="68"/>
      <c r="YK111" s="68"/>
      <c r="YL111" s="68"/>
      <c r="YM111" s="68"/>
      <c r="YN111" s="68"/>
      <c r="YO111" s="68"/>
      <c r="YP111" s="68"/>
      <c r="YQ111" s="68"/>
      <c r="YR111" s="68"/>
      <c r="YS111" s="68"/>
      <c r="YT111" s="68"/>
      <c r="YU111" s="68"/>
      <c r="YV111" s="68"/>
      <c r="YW111" s="68"/>
      <c r="YX111" s="68"/>
      <c r="YY111" s="68"/>
      <c r="YZ111" s="68"/>
      <c r="ZA111" s="68"/>
      <c r="ZB111" s="68"/>
      <c r="ZC111" s="68"/>
      <c r="ZD111" s="68"/>
      <c r="ZE111" s="68"/>
      <c r="ZF111" s="68"/>
      <c r="ZG111" s="68"/>
      <c r="ZH111" s="68"/>
      <c r="ZI111" s="68"/>
      <c r="ZJ111" s="68"/>
      <c r="ZK111" s="68"/>
      <c r="ZL111" s="68"/>
      <c r="ZM111" s="68"/>
      <c r="ZN111" s="68"/>
      <c r="ZO111" s="68"/>
      <c r="ZP111" s="68"/>
      <c r="ZQ111" s="68"/>
      <c r="ZR111" s="68"/>
      <c r="ZS111" s="68"/>
      <c r="ZT111" s="68"/>
      <c r="ZU111" s="68"/>
      <c r="ZV111" s="68"/>
      <c r="ZW111" s="68"/>
      <c r="ZX111" s="68"/>
      <c r="ZY111" s="68"/>
      <c r="ZZ111" s="68"/>
      <c r="AAA111" s="68"/>
      <c r="AAB111" s="68"/>
      <c r="AAC111" s="68"/>
      <c r="AAD111" s="68"/>
      <c r="AAE111" s="68"/>
      <c r="AAF111" s="68"/>
      <c r="AAG111" s="68"/>
      <c r="AAH111" s="68"/>
      <c r="AAI111" s="68"/>
      <c r="AAJ111" s="68"/>
      <c r="AAK111" s="68"/>
      <c r="AAL111" s="68"/>
      <c r="AAM111" s="68"/>
      <c r="AAN111" s="68"/>
      <c r="AAO111" s="68"/>
      <c r="AAP111" s="68"/>
      <c r="AAQ111" s="68"/>
      <c r="AAR111" s="68"/>
      <c r="AAS111" s="68"/>
      <c r="AAT111" s="68"/>
      <c r="AAU111" s="68"/>
      <c r="AAV111" s="68"/>
      <c r="AAW111" s="68"/>
      <c r="AAX111" s="68"/>
      <c r="AAY111" s="68"/>
      <c r="AAZ111" s="68"/>
      <c r="ABA111" s="68"/>
      <c r="ABB111" s="68"/>
      <c r="ABC111" s="68"/>
      <c r="ABD111" s="68"/>
      <c r="ABE111" s="68"/>
      <c r="ABF111" s="68"/>
      <c r="ABG111" s="68"/>
      <c r="ABH111" s="68"/>
      <c r="ABI111" s="68"/>
      <c r="ABJ111" s="68"/>
      <c r="ABK111" s="68"/>
      <c r="ABL111" s="68"/>
      <c r="ABM111" s="68"/>
      <c r="ABN111" s="68"/>
      <c r="ABO111" s="68"/>
      <c r="ABP111" s="68"/>
      <c r="ABQ111" s="68"/>
      <c r="ABR111" s="68"/>
      <c r="ABS111" s="68"/>
      <c r="ABT111" s="68"/>
      <c r="ABU111" s="68"/>
      <c r="ABV111" s="68"/>
      <c r="ABW111" s="68"/>
      <c r="ABX111" s="68"/>
      <c r="ABY111" s="68"/>
      <c r="ABZ111" s="68"/>
      <c r="ACA111" s="68"/>
      <c r="ACB111" s="68"/>
      <c r="ACC111" s="68"/>
      <c r="ACD111" s="68"/>
      <c r="ACE111" s="68"/>
      <c r="ACF111" s="68"/>
      <c r="ACG111" s="68"/>
      <c r="ACH111" s="68"/>
      <c r="ACI111" s="68"/>
      <c r="ACJ111" s="68"/>
      <c r="ACK111" s="68"/>
      <c r="ACL111" s="68"/>
      <c r="ACM111" s="68"/>
      <c r="ACN111" s="68"/>
      <c r="ACO111" s="68"/>
      <c r="ACP111" s="68"/>
      <c r="ACQ111" s="68"/>
      <c r="ACR111" s="68"/>
      <c r="ACS111" s="68"/>
      <c r="ACT111" s="68"/>
      <c r="ACU111" s="68"/>
      <c r="ACV111" s="68"/>
      <c r="ACW111" s="68"/>
      <c r="ACX111" s="68"/>
      <c r="ACY111" s="68"/>
      <c r="ACZ111" s="68"/>
      <c r="ADA111" s="68"/>
      <c r="ADB111" s="68"/>
      <c r="ADC111" s="68"/>
      <c r="ADD111" s="68"/>
      <c r="ADE111" s="68"/>
      <c r="ADF111" s="68"/>
      <c r="ADG111" s="68"/>
      <c r="ADH111" s="68"/>
      <c r="ADI111" s="68"/>
      <c r="ADJ111" s="68"/>
      <c r="ADK111" s="68"/>
      <c r="ADL111" s="68"/>
      <c r="ADM111" s="68"/>
      <c r="ADN111" s="68"/>
      <c r="ADO111" s="68"/>
      <c r="ADP111" s="68"/>
      <c r="ADQ111" s="68"/>
      <c r="ADR111" s="68"/>
      <c r="ADS111" s="68"/>
      <c r="ADT111" s="68"/>
      <c r="ADU111" s="68"/>
      <c r="ADV111" s="68"/>
      <c r="ADW111" s="68"/>
      <c r="ADX111" s="68"/>
      <c r="ADY111" s="68"/>
      <c r="ADZ111" s="68"/>
      <c r="AEA111" s="68"/>
      <c r="AEB111" s="68"/>
      <c r="AEC111" s="68"/>
      <c r="AED111" s="68"/>
      <c r="AEE111" s="68"/>
      <c r="AEF111" s="68"/>
      <c r="AEG111" s="68"/>
      <c r="AEH111" s="68"/>
      <c r="AEI111" s="68"/>
      <c r="AEJ111" s="68"/>
      <c r="AEK111" s="68"/>
      <c r="AEL111" s="68"/>
      <c r="AEM111" s="68"/>
      <c r="AEN111" s="68"/>
      <c r="AEO111" s="68"/>
      <c r="AEP111" s="68"/>
      <c r="AEQ111" s="68"/>
      <c r="AER111" s="68"/>
      <c r="AES111" s="68"/>
      <c r="AET111" s="68"/>
      <c r="AEU111" s="68"/>
      <c r="AEV111" s="68"/>
      <c r="AEW111" s="68"/>
      <c r="AEX111" s="68"/>
      <c r="AEY111" s="68"/>
      <c r="AEZ111" s="68"/>
      <c r="AFA111" s="68"/>
      <c r="AFB111" s="68"/>
      <c r="AFC111" s="68"/>
      <c r="AFD111" s="68"/>
      <c r="AFE111" s="68"/>
      <c r="AFF111" s="68"/>
      <c r="AFG111" s="68"/>
      <c r="AFH111" s="68"/>
      <c r="AFI111" s="68"/>
      <c r="AFJ111" s="68"/>
      <c r="AFK111" s="68"/>
      <c r="AFL111" s="68"/>
      <c r="AFM111" s="68"/>
      <c r="AFN111" s="68"/>
      <c r="AFO111" s="68"/>
      <c r="AFP111" s="68"/>
      <c r="AFQ111" s="68"/>
      <c r="AFR111" s="68"/>
      <c r="AFS111" s="68"/>
      <c r="AFT111" s="68"/>
      <c r="AFU111" s="68"/>
      <c r="AFV111" s="68"/>
      <c r="AFW111" s="68"/>
      <c r="AFX111" s="68"/>
      <c r="AFY111" s="68"/>
      <c r="AFZ111" s="68"/>
      <c r="AGA111" s="68"/>
      <c r="AGB111" s="68"/>
      <c r="AGC111" s="68"/>
      <c r="AGD111" s="68"/>
      <c r="AGE111" s="68"/>
      <c r="AGF111" s="68"/>
      <c r="AGG111" s="68"/>
      <c r="AGH111" s="68"/>
      <c r="AGI111" s="68"/>
      <c r="AGJ111" s="68"/>
      <c r="AGK111" s="68"/>
      <c r="AGL111" s="68"/>
      <c r="AGM111" s="68"/>
      <c r="AGN111" s="68"/>
      <c r="AGO111" s="68"/>
      <c r="AGP111" s="68"/>
      <c r="AGQ111" s="68"/>
      <c r="AGR111" s="68"/>
      <c r="AGS111" s="68"/>
      <c r="AGT111" s="68"/>
      <c r="AGU111" s="68"/>
      <c r="AGV111" s="68"/>
      <c r="AGW111" s="68"/>
      <c r="AGX111" s="68"/>
      <c r="AGY111" s="68"/>
      <c r="AGZ111" s="68"/>
      <c r="AHA111" s="68"/>
      <c r="AHB111" s="68"/>
      <c r="AHC111" s="68"/>
      <c r="AHD111" s="68"/>
      <c r="AHE111" s="68"/>
      <c r="AHF111" s="68"/>
      <c r="AHG111" s="68"/>
      <c r="AHH111" s="68"/>
      <c r="AHI111" s="68"/>
      <c r="AHJ111" s="68"/>
      <c r="AHK111" s="68"/>
      <c r="AHL111" s="68"/>
      <c r="AHM111" s="68"/>
      <c r="AHN111" s="68"/>
      <c r="AHO111" s="68"/>
      <c r="AHP111" s="68"/>
      <c r="AHQ111" s="68"/>
      <c r="AHR111" s="68"/>
      <c r="AHS111" s="68"/>
      <c r="AHT111" s="68"/>
      <c r="AHU111" s="68"/>
      <c r="AHV111" s="68"/>
      <c r="AHW111" s="68"/>
      <c r="AHX111" s="68"/>
      <c r="AHY111" s="68"/>
      <c r="AHZ111" s="68"/>
      <c r="AIA111" s="68"/>
      <c r="AIB111" s="68"/>
      <c r="AIC111" s="68"/>
      <c r="AID111" s="68"/>
      <c r="AIE111" s="68"/>
      <c r="AIF111" s="68"/>
      <c r="AIG111" s="68"/>
      <c r="AIH111" s="68"/>
      <c r="AII111" s="68"/>
      <c r="AIJ111" s="68"/>
      <c r="AIK111" s="68"/>
      <c r="AIL111" s="68"/>
      <c r="AIM111" s="68"/>
      <c r="AIN111" s="68"/>
      <c r="AIO111" s="68"/>
      <c r="AIP111" s="68"/>
      <c r="AIQ111" s="68"/>
      <c r="AIR111" s="68"/>
      <c r="AIS111" s="68"/>
      <c r="AIT111" s="68"/>
      <c r="AIU111" s="68"/>
      <c r="AIV111" s="68"/>
      <c r="AIW111" s="68"/>
      <c r="AIX111" s="68"/>
      <c r="AIY111" s="68"/>
      <c r="AIZ111" s="68"/>
      <c r="AJA111" s="68"/>
      <c r="AJB111" s="68"/>
      <c r="AJC111" s="68"/>
    </row>
    <row r="112" spans="1:939" s="85" customFormat="1" ht="28.5" customHeight="1" x14ac:dyDescent="0.25">
      <c r="A112" s="433"/>
      <c r="B112" s="434"/>
      <c r="C112" s="434"/>
      <c r="D112" s="466" t="s">
        <v>26</v>
      </c>
      <c r="E112" s="467"/>
      <c r="F112" s="467"/>
      <c r="G112" s="467"/>
      <c r="H112" s="467"/>
      <c r="I112" s="467"/>
      <c r="J112" s="467"/>
      <c r="K112" s="467"/>
      <c r="L112" s="468"/>
      <c r="M112" s="86"/>
      <c r="N112" s="141">
        <f>SUMIF($M$104:$M$109,D112,$N$104:$N$109)</f>
        <v>0</v>
      </c>
      <c r="O112" s="87">
        <f>SUM($O$104:$O$109)</f>
        <v>61536846.265965067</v>
      </c>
      <c r="P112" s="88">
        <f>SUMIF($M$104:$M$109,D112,$P$104:$P$109)</f>
        <v>0</v>
      </c>
      <c r="Q112" s="87"/>
      <c r="R112" s="88">
        <f>SUMIF($M$104:$M$109,D112,$R$104:$R$109)</f>
        <v>0</v>
      </c>
      <c r="S112" s="88">
        <f>SUMIF($M$104:$M$109,D112,$S$104:$S$109)</f>
        <v>0</v>
      </c>
      <c r="T112" s="87">
        <f>SUMIF($M$104:$M$109,D112,$T$104:$T$109)</f>
        <v>0</v>
      </c>
      <c r="U112" s="87">
        <f>SUM(U104:U109)</f>
        <v>24045416.388497725</v>
      </c>
      <c r="V112" s="89"/>
      <c r="W112" s="90"/>
      <c r="X112" s="47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  <c r="BQ112" s="68"/>
      <c r="BR112" s="68"/>
      <c r="BS112" s="68"/>
      <c r="BT112" s="68"/>
      <c r="BU112" s="68"/>
      <c r="BV112" s="68"/>
      <c r="BW112" s="68"/>
      <c r="BX112" s="68"/>
      <c r="BY112" s="68"/>
      <c r="BZ112" s="68"/>
      <c r="CA112" s="68"/>
      <c r="CB112" s="68"/>
      <c r="CC112" s="68"/>
      <c r="CD112" s="68"/>
      <c r="CE112" s="68"/>
      <c r="CF112" s="68"/>
      <c r="CG112" s="68"/>
      <c r="CH112" s="68"/>
      <c r="CI112" s="68"/>
      <c r="CJ112" s="68"/>
      <c r="CK112" s="68"/>
      <c r="CL112" s="68"/>
      <c r="CM112" s="68"/>
      <c r="CN112" s="68"/>
      <c r="CO112" s="68"/>
      <c r="CP112" s="68"/>
      <c r="CQ112" s="68"/>
      <c r="CR112" s="68"/>
      <c r="CS112" s="68"/>
      <c r="CT112" s="68"/>
      <c r="CU112" s="68"/>
      <c r="CV112" s="68"/>
      <c r="CW112" s="68"/>
      <c r="CX112" s="68"/>
      <c r="CY112" s="68"/>
      <c r="CZ112" s="68"/>
      <c r="DA112" s="68"/>
      <c r="DB112" s="68"/>
      <c r="DC112" s="68"/>
      <c r="DD112" s="68"/>
      <c r="DE112" s="68"/>
      <c r="DF112" s="68"/>
      <c r="DG112" s="68"/>
      <c r="DH112" s="68"/>
      <c r="DI112" s="68"/>
      <c r="DJ112" s="68"/>
      <c r="DK112" s="68"/>
      <c r="DL112" s="68"/>
      <c r="DM112" s="68"/>
      <c r="DN112" s="68"/>
      <c r="DO112" s="68"/>
      <c r="DP112" s="68"/>
      <c r="DQ112" s="68"/>
      <c r="DR112" s="68"/>
      <c r="DS112" s="68"/>
      <c r="DT112" s="68"/>
      <c r="DU112" s="68"/>
      <c r="DV112" s="68"/>
      <c r="DW112" s="68"/>
      <c r="DX112" s="68"/>
      <c r="DY112" s="68"/>
      <c r="DZ112" s="68"/>
      <c r="EA112" s="68"/>
      <c r="EB112" s="68"/>
      <c r="EC112" s="68"/>
      <c r="ED112" s="68"/>
      <c r="EE112" s="68"/>
      <c r="EF112" s="68"/>
      <c r="EG112" s="68"/>
      <c r="EH112" s="68"/>
      <c r="EI112" s="68"/>
      <c r="EJ112" s="68"/>
      <c r="EK112" s="68"/>
      <c r="EL112" s="68"/>
      <c r="EM112" s="68"/>
      <c r="EN112" s="68"/>
      <c r="EO112" s="68"/>
      <c r="EP112" s="68"/>
      <c r="EQ112" s="68"/>
      <c r="ER112" s="68"/>
      <c r="ES112" s="68"/>
      <c r="ET112" s="68"/>
      <c r="EU112" s="68"/>
      <c r="EV112" s="68"/>
      <c r="EW112" s="68"/>
      <c r="EX112" s="68"/>
      <c r="EY112" s="68"/>
      <c r="EZ112" s="68"/>
      <c r="FA112" s="68"/>
      <c r="FB112" s="68"/>
      <c r="FC112" s="68"/>
      <c r="FD112" s="68"/>
      <c r="FE112" s="68"/>
      <c r="FF112" s="68"/>
      <c r="FG112" s="68"/>
      <c r="FH112" s="68"/>
      <c r="FI112" s="68"/>
      <c r="FJ112" s="68"/>
      <c r="FK112" s="68"/>
      <c r="FL112" s="68"/>
      <c r="FM112" s="68"/>
      <c r="FN112" s="68"/>
      <c r="FO112" s="68"/>
      <c r="FP112" s="68"/>
      <c r="FQ112" s="68"/>
      <c r="FR112" s="68"/>
      <c r="FS112" s="68"/>
      <c r="FT112" s="68"/>
      <c r="FU112" s="68"/>
      <c r="FV112" s="68"/>
      <c r="FW112" s="68"/>
      <c r="FX112" s="68"/>
      <c r="FY112" s="68"/>
      <c r="FZ112" s="68"/>
      <c r="GA112" s="68"/>
      <c r="GB112" s="68"/>
      <c r="GC112" s="68"/>
      <c r="GD112" s="68"/>
      <c r="GE112" s="68"/>
      <c r="GF112" s="68"/>
      <c r="GG112" s="68"/>
      <c r="GH112" s="68"/>
      <c r="GI112" s="68"/>
      <c r="GJ112" s="68"/>
      <c r="GK112" s="68"/>
      <c r="GL112" s="68"/>
      <c r="GM112" s="68"/>
      <c r="GN112" s="68"/>
      <c r="GO112" s="68"/>
      <c r="GP112" s="68"/>
      <c r="GQ112" s="68"/>
      <c r="GR112" s="68"/>
      <c r="GS112" s="68"/>
      <c r="GT112" s="68"/>
      <c r="GU112" s="68"/>
      <c r="GV112" s="68"/>
      <c r="GW112" s="68"/>
      <c r="GX112" s="68"/>
      <c r="GY112" s="68"/>
      <c r="GZ112" s="68"/>
      <c r="HA112" s="68"/>
      <c r="HB112" s="68"/>
      <c r="HC112" s="68"/>
      <c r="HD112" s="68"/>
      <c r="HE112" s="68"/>
      <c r="HF112" s="68"/>
      <c r="HG112" s="68"/>
      <c r="HH112" s="68"/>
      <c r="HI112" s="68"/>
      <c r="HJ112" s="68"/>
      <c r="HK112" s="68"/>
      <c r="HL112" s="68"/>
      <c r="HM112" s="68"/>
      <c r="HN112" s="68"/>
      <c r="HO112" s="68"/>
      <c r="HP112" s="68"/>
      <c r="HQ112" s="68"/>
      <c r="HR112" s="68"/>
      <c r="HS112" s="68"/>
      <c r="HT112" s="68"/>
      <c r="HU112" s="68"/>
      <c r="HV112" s="68"/>
      <c r="HW112" s="68"/>
      <c r="HX112" s="68"/>
      <c r="HY112" s="68"/>
      <c r="HZ112" s="68"/>
      <c r="IA112" s="68"/>
      <c r="IB112" s="68"/>
      <c r="IC112" s="68"/>
      <c r="ID112" s="68"/>
      <c r="IE112" s="68"/>
      <c r="IF112" s="68"/>
      <c r="IG112" s="68"/>
      <c r="IH112" s="68"/>
      <c r="II112" s="68"/>
      <c r="IJ112" s="68"/>
      <c r="IK112" s="68"/>
      <c r="IL112" s="68"/>
      <c r="IM112" s="68"/>
      <c r="IN112" s="68"/>
      <c r="IO112" s="68"/>
      <c r="IP112" s="68"/>
      <c r="IQ112" s="68"/>
      <c r="IR112" s="68"/>
      <c r="IS112" s="68"/>
      <c r="IT112" s="68"/>
      <c r="IU112" s="68"/>
      <c r="IV112" s="68"/>
      <c r="IW112" s="68"/>
      <c r="IX112" s="68"/>
      <c r="IY112" s="68"/>
      <c r="IZ112" s="68"/>
      <c r="JA112" s="68"/>
      <c r="JB112" s="68"/>
      <c r="JC112" s="68"/>
      <c r="JD112" s="68"/>
      <c r="JE112" s="68"/>
      <c r="JF112" s="68"/>
      <c r="JG112" s="68"/>
      <c r="JH112" s="68"/>
      <c r="JI112" s="68"/>
      <c r="JJ112" s="68"/>
      <c r="JK112" s="68"/>
      <c r="JL112" s="68"/>
      <c r="JM112" s="68"/>
      <c r="JN112" s="68"/>
      <c r="JO112" s="68"/>
      <c r="JP112" s="68"/>
      <c r="JQ112" s="68"/>
      <c r="JR112" s="68"/>
      <c r="JS112" s="68"/>
      <c r="JT112" s="68"/>
      <c r="JU112" s="68"/>
      <c r="JV112" s="68"/>
      <c r="JW112" s="68"/>
      <c r="JX112" s="68"/>
      <c r="JY112" s="68"/>
      <c r="JZ112" s="68"/>
      <c r="KA112" s="68"/>
      <c r="KB112" s="68"/>
      <c r="KC112" s="68"/>
      <c r="KD112" s="68"/>
      <c r="KE112" s="68"/>
      <c r="KF112" s="68"/>
      <c r="KG112" s="68"/>
      <c r="KH112" s="68"/>
      <c r="KI112" s="68"/>
      <c r="KJ112" s="68"/>
      <c r="KK112" s="68"/>
      <c r="KL112" s="68"/>
      <c r="KM112" s="68"/>
      <c r="KN112" s="68"/>
      <c r="KO112" s="68"/>
      <c r="KP112" s="68"/>
      <c r="KQ112" s="68"/>
      <c r="KR112" s="68"/>
      <c r="KS112" s="68"/>
      <c r="KT112" s="68"/>
      <c r="KU112" s="68"/>
      <c r="KV112" s="68"/>
      <c r="KW112" s="68"/>
      <c r="KX112" s="68"/>
      <c r="KY112" s="68"/>
      <c r="KZ112" s="68"/>
      <c r="LA112" s="68"/>
      <c r="LB112" s="68"/>
      <c r="LC112" s="68"/>
      <c r="LD112" s="68"/>
      <c r="LE112" s="68"/>
      <c r="LF112" s="68"/>
      <c r="LG112" s="68"/>
      <c r="LH112" s="68"/>
      <c r="LI112" s="68"/>
      <c r="LJ112" s="68"/>
      <c r="LK112" s="68"/>
      <c r="LL112" s="68"/>
      <c r="LM112" s="68"/>
      <c r="LN112" s="68"/>
      <c r="LO112" s="68"/>
      <c r="LP112" s="68"/>
      <c r="LQ112" s="68"/>
      <c r="LR112" s="68"/>
      <c r="LS112" s="68"/>
      <c r="LT112" s="68"/>
      <c r="LU112" s="68"/>
      <c r="LV112" s="68"/>
      <c r="LW112" s="68"/>
      <c r="LX112" s="68"/>
      <c r="LY112" s="68"/>
      <c r="LZ112" s="68"/>
      <c r="MA112" s="68"/>
      <c r="MB112" s="68"/>
      <c r="MC112" s="68"/>
      <c r="MD112" s="68"/>
      <c r="ME112" s="68"/>
      <c r="MF112" s="68"/>
      <c r="MG112" s="68"/>
      <c r="MH112" s="68"/>
      <c r="MI112" s="68"/>
      <c r="MJ112" s="68"/>
      <c r="MK112" s="68"/>
      <c r="ML112" s="68"/>
      <c r="MM112" s="68"/>
      <c r="MN112" s="68"/>
      <c r="MO112" s="68"/>
      <c r="MP112" s="68"/>
      <c r="MQ112" s="68"/>
      <c r="MR112" s="68"/>
      <c r="MS112" s="68"/>
      <c r="MT112" s="68"/>
      <c r="MU112" s="68"/>
      <c r="MV112" s="68"/>
      <c r="MW112" s="68"/>
      <c r="MX112" s="68"/>
      <c r="MY112" s="68"/>
      <c r="MZ112" s="68"/>
      <c r="NA112" s="68"/>
      <c r="NB112" s="68"/>
      <c r="NC112" s="68"/>
      <c r="ND112" s="68"/>
      <c r="NE112" s="68"/>
      <c r="NF112" s="68"/>
      <c r="NG112" s="68"/>
      <c r="NH112" s="68"/>
      <c r="NI112" s="68"/>
      <c r="NJ112" s="68"/>
      <c r="NK112" s="68"/>
      <c r="NL112" s="68"/>
      <c r="NM112" s="68"/>
      <c r="NN112" s="68"/>
      <c r="NO112" s="68"/>
      <c r="NP112" s="68"/>
      <c r="NQ112" s="68"/>
      <c r="NR112" s="68"/>
      <c r="NS112" s="68"/>
      <c r="NT112" s="68"/>
      <c r="NU112" s="68"/>
      <c r="NV112" s="68"/>
      <c r="NW112" s="68"/>
      <c r="NX112" s="68"/>
      <c r="NY112" s="68"/>
      <c r="NZ112" s="68"/>
      <c r="OA112" s="68"/>
      <c r="OB112" s="68"/>
      <c r="OC112" s="68"/>
      <c r="OD112" s="68"/>
      <c r="OE112" s="68"/>
      <c r="OF112" s="68"/>
      <c r="OG112" s="68"/>
      <c r="OH112" s="68"/>
      <c r="OI112" s="68"/>
      <c r="OJ112" s="68"/>
      <c r="OK112" s="68"/>
      <c r="OL112" s="68"/>
      <c r="OM112" s="68"/>
      <c r="ON112" s="68"/>
      <c r="OO112" s="68"/>
      <c r="OP112" s="68"/>
      <c r="OQ112" s="68"/>
      <c r="OR112" s="68"/>
      <c r="OS112" s="68"/>
      <c r="OT112" s="68"/>
      <c r="OU112" s="68"/>
      <c r="OV112" s="68"/>
      <c r="OW112" s="68"/>
      <c r="OX112" s="68"/>
      <c r="OY112" s="68"/>
      <c r="OZ112" s="68"/>
      <c r="PA112" s="68"/>
      <c r="PB112" s="68"/>
      <c r="PC112" s="68"/>
      <c r="PD112" s="68"/>
      <c r="PE112" s="68"/>
      <c r="PF112" s="68"/>
      <c r="PG112" s="68"/>
      <c r="PH112" s="68"/>
      <c r="PI112" s="68"/>
      <c r="PJ112" s="68"/>
      <c r="PK112" s="68"/>
      <c r="PL112" s="68"/>
      <c r="PM112" s="68"/>
      <c r="PN112" s="68"/>
      <c r="PO112" s="68"/>
      <c r="PP112" s="68"/>
      <c r="PQ112" s="68"/>
      <c r="PR112" s="68"/>
      <c r="PS112" s="68"/>
      <c r="PT112" s="68"/>
      <c r="PU112" s="68"/>
      <c r="PV112" s="68"/>
      <c r="PW112" s="68"/>
      <c r="PX112" s="68"/>
      <c r="PY112" s="68"/>
      <c r="PZ112" s="68"/>
      <c r="QA112" s="68"/>
      <c r="QB112" s="68"/>
      <c r="QC112" s="68"/>
      <c r="QD112" s="68"/>
      <c r="QE112" s="68"/>
      <c r="QF112" s="68"/>
      <c r="QG112" s="68"/>
      <c r="QH112" s="68"/>
      <c r="QI112" s="68"/>
      <c r="QJ112" s="68"/>
      <c r="QK112" s="68"/>
      <c r="QL112" s="68"/>
      <c r="QM112" s="68"/>
      <c r="QN112" s="68"/>
      <c r="QO112" s="68"/>
      <c r="QP112" s="68"/>
      <c r="QQ112" s="68"/>
      <c r="QR112" s="68"/>
      <c r="QS112" s="68"/>
      <c r="QT112" s="68"/>
      <c r="QU112" s="68"/>
      <c r="QV112" s="68"/>
      <c r="QW112" s="68"/>
      <c r="QX112" s="68"/>
      <c r="QY112" s="68"/>
      <c r="QZ112" s="68"/>
      <c r="RA112" s="68"/>
      <c r="RB112" s="68"/>
      <c r="RC112" s="68"/>
      <c r="RD112" s="68"/>
      <c r="RE112" s="68"/>
      <c r="RF112" s="68"/>
      <c r="RG112" s="68"/>
      <c r="RH112" s="68"/>
      <c r="RI112" s="68"/>
      <c r="RJ112" s="68"/>
      <c r="RK112" s="68"/>
      <c r="RL112" s="68"/>
      <c r="RM112" s="68"/>
      <c r="RN112" s="68"/>
      <c r="RO112" s="68"/>
      <c r="RP112" s="68"/>
      <c r="RQ112" s="68"/>
      <c r="RR112" s="68"/>
      <c r="RS112" s="68"/>
      <c r="RT112" s="68"/>
      <c r="RU112" s="68"/>
      <c r="RV112" s="68"/>
      <c r="RW112" s="68"/>
      <c r="RX112" s="68"/>
      <c r="RY112" s="68"/>
      <c r="RZ112" s="68"/>
      <c r="SA112" s="68"/>
      <c r="SB112" s="68"/>
      <c r="SC112" s="68"/>
      <c r="SD112" s="68"/>
      <c r="SE112" s="68"/>
      <c r="SF112" s="68"/>
      <c r="SG112" s="68"/>
      <c r="SH112" s="68"/>
      <c r="SI112" s="68"/>
      <c r="SJ112" s="68"/>
      <c r="SK112" s="68"/>
      <c r="SL112" s="68"/>
      <c r="SM112" s="68"/>
      <c r="SN112" s="68"/>
      <c r="SO112" s="68"/>
      <c r="SP112" s="68"/>
      <c r="SQ112" s="68"/>
      <c r="SR112" s="68"/>
      <c r="SS112" s="68"/>
      <c r="ST112" s="68"/>
      <c r="SU112" s="68"/>
      <c r="SV112" s="68"/>
      <c r="SW112" s="68"/>
      <c r="SX112" s="68"/>
      <c r="SY112" s="68"/>
      <c r="SZ112" s="68"/>
      <c r="TA112" s="68"/>
      <c r="TB112" s="68"/>
      <c r="TC112" s="68"/>
      <c r="TD112" s="68"/>
      <c r="TE112" s="68"/>
      <c r="TF112" s="68"/>
      <c r="TG112" s="68"/>
      <c r="TH112" s="68"/>
      <c r="TI112" s="68"/>
      <c r="TJ112" s="68"/>
      <c r="TK112" s="68"/>
      <c r="TL112" s="68"/>
      <c r="TM112" s="68"/>
      <c r="TN112" s="68"/>
      <c r="TO112" s="68"/>
      <c r="TP112" s="68"/>
      <c r="TQ112" s="68"/>
      <c r="TR112" s="68"/>
      <c r="TS112" s="68"/>
      <c r="TT112" s="68"/>
      <c r="TU112" s="68"/>
      <c r="TV112" s="68"/>
      <c r="TW112" s="68"/>
      <c r="TX112" s="68"/>
      <c r="TY112" s="68"/>
      <c r="TZ112" s="68"/>
      <c r="UA112" s="68"/>
      <c r="UB112" s="68"/>
      <c r="UC112" s="68"/>
      <c r="UD112" s="68"/>
      <c r="UE112" s="68"/>
      <c r="UF112" s="68"/>
      <c r="UG112" s="68"/>
      <c r="UH112" s="68"/>
      <c r="UI112" s="68"/>
      <c r="UJ112" s="68"/>
      <c r="UK112" s="68"/>
      <c r="UL112" s="68"/>
      <c r="UM112" s="68"/>
      <c r="UN112" s="68"/>
      <c r="UO112" s="68"/>
      <c r="UP112" s="68"/>
      <c r="UQ112" s="68"/>
      <c r="UR112" s="68"/>
      <c r="US112" s="68"/>
      <c r="UT112" s="68"/>
      <c r="UU112" s="68"/>
      <c r="UV112" s="68"/>
      <c r="UW112" s="68"/>
      <c r="UX112" s="68"/>
      <c r="UY112" s="68"/>
      <c r="UZ112" s="68"/>
      <c r="VA112" s="68"/>
      <c r="VB112" s="68"/>
      <c r="VC112" s="68"/>
      <c r="VD112" s="68"/>
      <c r="VE112" s="68"/>
      <c r="VF112" s="68"/>
      <c r="VG112" s="68"/>
      <c r="VH112" s="68"/>
      <c r="VI112" s="68"/>
      <c r="VJ112" s="68"/>
      <c r="VK112" s="68"/>
      <c r="VL112" s="68"/>
      <c r="VM112" s="68"/>
      <c r="VN112" s="68"/>
      <c r="VO112" s="68"/>
      <c r="VP112" s="68"/>
      <c r="VQ112" s="68"/>
      <c r="VR112" s="68"/>
      <c r="VS112" s="68"/>
      <c r="VT112" s="68"/>
      <c r="VU112" s="68"/>
      <c r="VV112" s="68"/>
      <c r="VW112" s="68"/>
      <c r="VX112" s="68"/>
      <c r="VY112" s="68"/>
      <c r="VZ112" s="68"/>
      <c r="WA112" s="68"/>
      <c r="WB112" s="68"/>
      <c r="WC112" s="68"/>
      <c r="WD112" s="68"/>
      <c r="WE112" s="68"/>
      <c r="WF112" s="68"/>
      <c r="WG112" s="68"/>
      <c r="WH112" s="68"/>
      <c r="WI112" s="68"/>
      <c r="WJ112" s="68"/>
      <c r="WK112" s="68"/>
      <c r="WL112" s="68"/>
      <c r="WM112" s="68"/>
      <c r="WN112" s="68"/>
      <c r="WO112" s="68"/>
      <c r="WP112" s="68"/>
      <c r="WQ112" s="68"/>
      <c r="WR112" s="68"/>
      <c r="WS112" s="68"/>
      <c r="WT112" s="68"/>
      <c r="WU112" s="68"/>
      <c r="WV112" s="68"/>
      <c r="WW112" s="68"/>
      <c r="WX112" s="68"/>
      <c r="WY112" s="68"/>
      <c r="WZ112" s="68"/>
      <c r="XA112" s="68"/>
      <c r="XB112" s="68"/>
      <c r="XC112" s="68"/>
      <c r="XD112" s="68"/>
      <c r="XE112" s="68"/>
      <c r="XF112" s="68"/>
      <c r="XG112" s="68"/>
      <c r="XH112" s="68"/>
      <c r="XI112" s="68"/>
      <c r="XJ112" s="68"/>
      <c r="XK112" s="68"/>
      <c r="XL112" s="68"/>
      <c r="XM112" s="68"/>
      <c r="XN112" s="68"/>
      <c r="XO112" s="68"/>
      <c r="XP112" s="68"/>
      <c r="XQ112" s="68"/>
      <c r="XR112" s="68"/>
      <c r="XS112" s="68"/>
      <c r="XT112" s="68"/>
      <c r="XU112" s="68"/>
      <c r="XV112" s="68"/>
      <c r="XW112" s="68"/>
      <c r="XX112" s="68"/>
      <c r="XY112" s="68"/>
      <c r="XZ112" s="68"/>
      <c r="YA112" s="68"/>
      <c r="YB112" s="68"/>
      <c r="YC112" s="68"/>
      <c r="YD112" s="68"/>
      <c r="YE112" s="68"/>
      <c r="YF112" s="68"/>
      <c r="YG112" s="68"/>
      <c r="YH112" s="68"/>
      <c r="YI112" s="68"/>
      <c r="YJ112" s="68"/>
      <c r="YK112" s="68"/>
      <c r="YL112" s="68"/>
      <c r="YM112" s="68"/>
      <c r="YN112" s="68"/>
      <c r="YO112" s="68"/>
      <c r="YP112" s="68"/>
      <c r="YQ112" s="68"/>
      <c r="YR112" s="68"/>
      <c r="YS112" s="68"/>
      <c r="YT112" s="68"/>
      <c r="YU112" s="68"/>
      <c r="YV112" s="68"/>
      <c r="YW112" s="68"/>
      <c r="YX112" s="68"/>
      <c r="YY112" s="68"/>
      <c r="YZ112" s="68"/>
      <c r="ZA112" s="68"/>
      <c r="ZB112" s="68"/>
      <c r="ZC112" s="68"/>
      <c r="ZD112" s="68"/>
      <c r="ZE112" s="68"/>
      <c r="ZF112" s="68"/>
      <c r="ZG112" s="68"/>
      <c r="ZH112" s="68"/>
      <c r="ZI112" s="68"/>
      <c r="ZJ112" s="68"/>
      <c r="ZK112" s="68"/>
      <c r="ZL112" s="68"/>
      <c r="ZM112" s="68"/>
      <c r="ZN112" s="68"/>
      <c r="ZO112" s="68"/>
      <c r="ZP112" s="68"/>
      <c r="ZQ112" s="68"/>
      <c r="ZR112" s="68"/>
      <c r="ZS112" s="68"/>
      <c r="ZT112" s="68"/>
      <c r="ZU112" s="68"/>
      <c r="ZV112" s="68"/>
      <c r="ZW112" s="68"/>
      <c r="ZX112" s="68"/>
      <c r="ZY112" s="68"/>
      <c r="ZZ112" s="68"/>
      <c r="AAA112" s="68"/>
      <c r="AAB112" s="68"/>
      <c r="AAC112" s="68"/>
      <c r="AAD112" s="68"/>
      <c r="AAE112" s="68"/>
      <c r="AAF112" s="68"/>
      <c r="AAG112" s="68"/>
      <c r="AAH112" s="68"/>
      <c r="AAI112" s="68"/>
      <c r="AAJ112" s="68"/>
      <c r="AAK112" s="68"/>
      <c r="AAL112" s="68"/>
      <c r="AAM112" s="68"/>
      <c r="AAN112" s="68"/>
      <c r="AAO112" s="68"/>
      <c r="AAP112" s="68"/>
      <c r="AAQ112" s="68"/>
      <c r="AAR112" s="68"/>
      <c r="AAS112" s="68"/>
      <c r="AAT112" s="68"/>
      <c r="AAU112" s="68"/>
      <c r="AAV112" s="68"/>
      <c r="AAW112" s="68"/>
      <c r="AAX112" s="68"/>
      <c r="AAY112" s="68"/>
      <c r="AAZ112" s="68"/>
      <c r="ABA112" s="68"/>
      <c r="ABB112" s="68"/>
      <c r="ABC112" s="68"/>
      <c r="ABD112" s="68"/>
      <c r="ABE112" s="68"/>
      <c r="ABF112" s="68"/>
      <c r="ABG112" s="68"/>
      <c r="ABH112" s="68"/>
      <c r="ABI112" s="68"/>
      <c r="ABJ112" s="68"/>
      <c r="ABK112" s="68"/>
      <c r="ABL112" s="68"/>
      <c r="ABM112" s="68"/>
      <c r="ABN112" s="68"/>
      <c r="ABO112" s="68"/>
      <c r="ABP112" s="68"/>
      <c r="ABQ112" s="68"/>
      <c r="ABR112" s="68"/>
      <c r="ABS112" s="68"/>
      <c r="ABT112" s="68"/>
      <c r="ABU112" s="68"/>
      <c r="ABV112" s="68"/>
      <c r="ABW112" s="68"/>
      <c r="ABX112" s="68"/>
      <c r="ABY112" s="68"/>
      <c r="ABZ112" s="68"/>
      <c r="ACA112" s="68"/>
      <c r="ACB112" s="68"/>
      <c r="ACC112" s="68"/>
      <c r="ACD112" s="68"/>
      <c r="ACE112" s="68"/>
      <c r="ACF112" s="68"/>
      <c r="ACG112" s="68"/>
      <c r="ACH112" s="68"/>
      <c r="ACI112" s="68"/>
      <c r="ACJ112" s="68"/>
      <c r="ACK112" s="68"/>
      <c r="ACL112" s="68"/>
      <c r="ACM112" s="68"/>
      <c r="ACN112" s="68"/>
      <c r="ACO112" s="68"/>
      <c r="ACP112" s="68"/>
      <c r="ACQ112" s="68"/>
      <c r="ACR112" s="68"/>
      <c r="ACS112" s="68"/>
      <c r="ACT112" s="68"/>
      <c r="ACU112" s="68"/>
      <c r="ACV112" s="68"/>
      <c r="ACW112" s="68"/>
      <c r="ACX112" s="68"/>
      <c r="ACY112" s="68"/>
      <c r="ACZ112" s="68"/>
      <c r="ADA112" s="68"/>
      <c r="ADB112" s="68"/>
      <c r="ADC112" s="68"/>
      <c r="ADD112" s="68"/>
      <c r="ADE112" s="68"/>
      <c r="ADF112" s="68"/>
      <c r="ADG112" s="68"/>
      <c r="ADH112" s="68"/>
      <c r="ADI112" s="68"/>
      <c r="ADJ112" s="68"/>
      <c r="ADK112" s="68"/>
      <c r="ADL112" s="68"/>
      <c r="ADM112" s="68"/>
      <c r="ADN112" s="68"/>
      <c r="ADO112" s="68"/>
      <c r="ADP112" s="68"/>
      <c r="ADQ112" s="68"/>
      <c r="ADR112" s="68"/>
      <c r="ADS112" s="68"/>
      <c r="ADT112" s="68"/>
      <c r="ADU112" s="68"/>
      <c r="ADV112" s="68"/>
      <c r="ADW112" s="68"/>
      <c r="ADX112" s="68"/>
      <c r="ADY112" s="68"/>
      <c r="ADZ112" s="68"/>
      <c r="AEA112" s="68"/>
      <c r="AEB112" s="68"/>
      <c r="AEC112" s="68"/>
      <c r="AED112" s="68"/>
      <c r="AEE112" s="68"/>
      <c r="AEF112" s="68"/>
      <c r="AEG112" s="68"/>
      <c r="AEH112" s="68"/>
      <c r="AEI112" s="68"/>
      <c r="AEJ112" s="68"/>
      <c r="AEK112" s="68"/>
      <c r="AEL112" s="68"/>
      <c r="AEM112" s="68"/>
      <c r="AEN112" s="68"/>
      <c r="AEO112" s="68"/>
      <c r="AEP112" s="68"/>
      <c r="AEQ112" s="68"/>
      <c r="AER112" s="68"/>
      <c r="AES112" s="68"/>
      <c r="AET112" s="68"/>
      <c r="AEU112" s="68"/>
      <c r="AEV112" s="68"/>
      <c r="AEW112" s="68"/>
      <c r="AEX112" s="68"/>
      <c r="AEY112" s="68"/>
      <c r="AEZ112" s="68"/>
      <c r="AFA112" s="68"/>
      <c r="AFB112" s="68"/>
      <c r="AFC112" s="68"/>
      <c r="AFD112" s="68"/>
      <c r="AFE112" s="68"/>
      <c r="AFF112" s="68"/>
      <c r="AFG112" s="68"/>
      <c r="AFH112" s="68"/>
      <c r="AFI112" s="68"/>
      <c r="AFJ112" s="68"/>
      <c r="AFK112" s="68"/>
      <c r="AFL112" s="68"/>
      <c r="AFM112" s="68"/>
      <c r="AFN112" s="68"/>
      <c r="AFO112" s="68"/>
      <c r="AFP112" s="68"/>
      <c r="AFQ112" s="68"/>
      <c r="AFR112" s="68"/>
      <c r="AFS112" s="68"/>
      <c r="AFT112" s="68"/>
      <c r="AFU112" s="68"/>
      <c r="AFV112" s="68"/>
      <c r="AFW112" s="68"/>
      <c r="AFX112" s="68"/>
      <c r="AFY112" s="68"/>
      <c r="AFZ112" s="68"/>
      <c r="AGA112" s="68"/>
      <c r="AGB112" s="68"/>
      <c r="AGC112" s="68"/>
      <c r="AGD112" s="68"/>
      <c r="AGE112" s="68"/>
      <c r="AGF112" s="68"/>
      <c r="AGG112" s="68"/>
      <c r="AGH112" s="68"/>
      <c r="AGI112" s="68"/>
      <c r="AGJ112" s="68"/>
      <c r="AGK112" s="68"/>
      <c r="AGL112" s="68"/>
      <c r="AGM112" s="68"/>
      <c r="AGN112" s="68"/>
      <c r="AGO112" s="68"/>
      <c r="AGP112" s="68"/>
      <c r="AGQ112" s="68"/>
      <c r="AGR112" s="68"/>
      <c r="AGS112" s="68"/>
      <c r="AGT112" s="68"/>
      <c r="AGU112" s="68"/>
      <c r="AGV112" s="68"/>
      <c r="AGW112" s="68"/>
      <c r="AGX112" s="68"/>
      <c r="AGY112" s="68"/>
      <c r="AGZ112" s="68"/>
      <c r="AHA112" s="68"/>
      <c r="AHB112" s="68"/>
      <c r="AHC112" s="68"/>
      <c r="AHD112" s="68"/>
      <c r="AHE112" s="68"/>
      <c r="AHF112" s="68"/>
      <c r="AHG112" s="68"/>
      <c r="AHH112" s="68"/>
      <c r="AHI112" s="68"/>
      <c r="AHJ112" s="68"/>
      <c r="AHK112" s="68"/>
      <c r="AHL112" s="68"/>
      <c r="AHM112" s="68"/>
      <c r="AHN112" s="68"/>
      <c r="AHO112" s="68"/>
      <c r="AHP112" s="68"/>
      <c r="AHQ112" s="68"/>
      <c r="AHR112" s="68"/>
      <c r="AHS112" s="68"/>
      <c r="AHT112" s="68"/>
      <c r="AHU112" s="68"/>
      <c r="AHV112" s="68"/>
      <c r="AHW112" s="68"/>
      <c r="AHX112" s="68"/>
      <c r="AHY112" s="68"/>
      <c r="AHZ112" s="68"/>
      <c r="AIA112" s="68"/>
      <c r="AIB112" s="68"/>
      <c r="AIC112" s="68"/>
      <c r="AID112" s="68"/>
      <c r="AIE112" s="68"/>
      <c r="AIF112" s="68"/>
      <c r="AIG112" s="68"/>
      <c r="AIH112" s="68"/>
      <c r="AII112" s="68"/>
      <c r="AIJ112" s="68"/>
      <c r="AIK112" s="68"/>
      <c r="AIL112" s="68"/>
      <c r="AIM112" s="68"/>
      <c r="AIN112" s="68"/>
      <c r="AIO112" s="68"/>
      <c r="AIP112" s="68"/>
      <c r="AIQ112" s="68"/>
      <c r="AIR112" s="68"/>
      <c r="AIS112" s="68"/>
      <c r="AIT112" s="68"/>
      <c r="AIU112" s="68"/>
      <c r="AIV112" s="68"/>
      <c r="AIW112" s="68"/>
      <c r="AIX112" s="68"/>
      <c r="AIY112" s="68"/>
      <c r="AIZ112" s="68"/>
      <c r="AJA112" s="68"/>
      <c r="AJB112" s="68"/>
      <c r="AJC112" s="68"/>
    </row>
    <row r="113" spans="1:939" s="85" customFormat="1" ht="30" customHeight="1" thickBot="1" x14ac:dyDescent="0.3">
      <c r="A113" s="435"/>
      <c r="B113" s="436"/>
      <c r="C113" s="436"/>
      <c r="D113" s="469" t="s">
        <v>18</v>
      </c>
      <c r="E113" s="470"/>
      <c r="F113" s="470"/>
      <c r="G113" s="470"/>
      <c r="H113" s="470"/>
      <c r="I113" s="470"/>
      <c r="J113" s="470"/>
      <c r="K113" s="470"/>
      <c r="L113" s="471"/>
      <c r="M113" s="91"/>
      <c r="N113" s="92">
        <f>SUMIF($M$104:$M$109,D113,$N$104:$N$109)</f>
        <v>0</v>
      </c>
      <c r="O113" s="92"/>
      <c r="P113" s="93">
        <f>SUMIF($M$104:$M$109,D113,$P$104:$P$109)</f>
        <v>0</v>
      </c>
      <c r="Q113" s="92"/>
      <c r="R113" s="93">
        <f>SUMIF($M$104:$M$109,D113,$R$104:$R$109)</f>
        <v>0</v>
      </c>
      <c r="S113" s="93">
        <f>SUMIF($M$104:$M$109,D113,$S$104:$S$109)</f>
        <v>0</v>
      </c>
      <c r="T113" s="92">
        <f>SUMIF($M$104:$M$109,D113,$T$104:$T$109)</f>
        <v>0</v>
      </c>
      <c r="U113" s="92"/>
      <c r="V113" s="94"/>
      <c r="W113" s="95"/>
      <c r="X113" s="47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  <c r="HV113" s="68"/>
      <c r="HW113" s="68"/>
      <c r="HX113" s="68"/>
      <c r="HY113" s="68"/>
      <c r="HZ113" s="68"/>
      <c r="IA113" s="68"/>
      <c r="IB113" s="68"/>
      <c r="IC113" s="68"/>
      <c r="ID113" s="68"/>
      <c r="IE113" s="68"/>
      <c r="IF113" s="68"/>
      <c r="IG113" s="68"/>
      <c r="IH113" s="68"/>
      <c r="II113" s="68"/>
      <c r="IJ113" s="68"/>
      <c r="IK113" s="68"/>
      <c r="IL113" s="68"/>
      <c r="IM113" s="68"/>
      <c r="IN113" s="68"/>
      <c r="IO113" s="68"/>
      <c r="IP113" s="68"/>
      <c r="IQ113" s="68"/>
      <c r="IR113" s="68"/>
      <c r="IS113" s="68"/>
      <c r="IT113" s="68"/>
      <c r="IU113" s="68"/>
      <c r="IV113" s="68"/>
      <c r="IW113" s="68"/>
      <c r="IX113" s="68"/>
      <c r="IY113" s="68"/>
      <c r="IZ113" s="68"/>
      <c r="JA113" s="68"/>
      <c r="JB113" s="68"/>
      <c r="JC113" s="68"/>
      <c r="JD113" s="68"/>
      <c r="JE113" s="68"/>
      <c r="JF113" s="68"/>
      <c r="JG113" s="68"/>
      <c r="JH113" s="68"/>
      <c r="JI113" s="68"/>
      <c r="JJ113" s="68"/>
      <c r="JK113" s="68"/>
      <c r="JL113" s="68"/>
      <c r="JM113" s="68"/>
      <c r="JN113" s="68"/>
      <c r="JO113" s="68"/>
      <c r="JP113" s="68"/>
      <c r="JQ113" s="68"/>
      <c r="JR113" s="68"/>
      <c r="JS113" s="68"/>
      <c r="JT113" s="68"/>
      <c r="JU113" s="68"/>
      <c r="JV113" s="68"/>
      <c r="JW113" s="68"/>
      <c r="JX113" s="68"/>
      <c r="JY113" s="68"/>
      <c r="JZ113" s="68"/>
      <c r="KA113" s="68"/>
      <c r="KB113" s="68"/>
      <c r="KC113" s="68"/>
      <c r="KD113" s="68"/>
      <c r="KE113" s="68"/>
      <c r="KF113" s="68"/>
      <c r="KG113" s="68"/>
      <c r="KH113" s="68"/>
      <c r="KI113" s="68"/>
      <c r="KJ113" s="68"/>
      <c r="KK113" s="68"/>
      <c r="KL113" s="68"/>
      <c r="KM113" s="68"/>
      <c r="KN113" s="68"/>
      <c r="KO113" s="68"/>
      <c r="KP113" s="68"/>
      <c r="KQ113" s="68"/>
      <c r="KR113" s="68"/>
      <c r="KS113" s="68"/>
      <c r="KT113" s="68"/>
      <c r="KU113" s="68"/>
      <c r="KV113" s="68"/>
      <c r="KW113" s="68"/>
      <c r="KX113" s="68"/>
      <c r="KY113" s="68"/>
      <c r="KZ113" s="68"/>
      <c r="LA113" s="68"/>
      <c r="LB113" s="68"/>
      <c r="LC113" s="68"/>
      <c r="LD113" s="68"/>
      <c r="LE113" s="68"/>
      <c r="LF113" s="68"/>
      <c r="LG113" s="68"/>
      <c r="LH113" s="68"/>
      <c r="LI113" s="68"/>
      <c r="LJ113" s="68"/>
      <c r="LK113" s="68"/>
      <c r="LL113" s="68"/>
      <c r="LM113" s="68"/>
      <c r="LN113" s="68"/>
      <c r="LO113" s="68"/>
      <c r="LP113" s="68"/>
      <c r="LQ113" s="68"/>
      <c r="LR113" s="68"/>
      <c r="LS113" s="68"/>
      <c r="LT113" s="68"/>
      <c r="LU113" s="68"/>
      <c r="LV113" s="68"/>
      <c r="LW113" s="68"/>
      <c r="LX113" s="68"/>
      <c r="LY113" s="68"/>
      <c r="LZ113" s="68"/>
      <c r="MA113" s="68"/>
      <c r="MB113" s="68"/>
      <c r="MC113" s="68"/>
      <c r="MD113" s="68"/>
      <c r="ME113" s="68"/>
      <c r="MF113" s="68"/>
      <c r="MG113" s="68"/>
      <c r="MH113" s="68"/>
      <c r="MI113" s="68"/>
      <c r="MJ113" s="68"/>
      <c r="MK113" s="68"/>
      <c r="ML113" s="68"/>
      <c r="MM113" s="68"/>
      <c r="MN113" s="68"/>
      <c r="MO113" s="68"/>
      <c r="MP113" s="68"/>
      <c r="MQ113" s="68"/>
      <c r="MR113" s="68"/>
      <c r="MS113" s="68"/>
      <c r="MT113" s="68"/>
      <c r="MU113" s="68"/>
      <c r="MV113" s="68"/>
      <c r="MW113" s="68"/>
      <c r="MX113" s="68"/>
      <c r="MY113" s="68"/>
      <c r="MZ113" s="68"/>
      <c r="NA113" s="68"/>
      <c r="NB113" s="68"/>
      <c r="NC113" s="68"/>
      <c r="ND113" s="68"/>
      <c r="NE113" s="68"/>
      <c r="NF113" s="68"/>
      <c r="NG113" s="68"/>
      <c r="NH113" s="68"/>
      <c r="NI113" s="68"/>
      <c r="NJ113" s="68"/>
      <c r="NK113" s="68"/>
      <c r="NL113" s="68"/>
      <c r="NM113" s="68"/>
      <c r="NN113" s="68"/>
      <c r="NO113" s="68"/>
      <c r="NP113" s="68"/>
      <c r="NQ113" s="68"/>
      <c r="NR113" s="68"/>
      <c r="NS113" s="68"/>
      <c r="NT113" s="68"/>
      <c r="NU113" s="68"/>
      <c r="NV113" s="68"/>
      <c r="NW113" s="68"/>
      <c r="NX113" s="68"/>
      <c r="NY113" s="68"/>
      <c r="NZ113" s="68"/>
      <c r="OA113" s="68"/>
      <c r="OB113" s="68"/>
      <c r="OC113" s="68"/>
      <c r="OD113" s="68"/>
      <c r="OE113" s="68"/>
      <c r="OF113" s="68"/>
      <c r="OG113" s="68"/>
      <c r="OH113" s="68"/>
      <c r="OI113" s="68"/>
      <c r="OJ113" s="68"/>
      <c r="OK113" s="68"/>
      <c r="OL113" s="68"/>
      <c r="OM113" s="68"/>
      <c r="ON113" s="68"/>
      <c r="OO113" s="68"/>
      <c r="OP113" s="68"/>
      <c r="OQ113" s="68"/>
      <c r="OR113" s="68"/>
      <c r="OS113" s="68"/>
      <c r="OT113" s="68"/>
      <c r="OU113" s="68"/>
      <c r="OV113" s="68"/>
      <c r="OW113" s="68"/>
      <c r="OX113" s="68"/>
      <c r="OY113" s="68"/>
      <c r="OZ113" s="68"/>
      <c r="PA113" s="68"/>
      <c r="PB113" s="68"/>
      <c r="PC113" s="68"/>
      <c r="PD113" s="68"/>
      <c r="PE113" s="68"/>
      <c r="PF113" s="68"/>
      <c r="PG113" s="68"/>
      <c r="PH113" s="68"/>
      <c r="PI113" s="68"/>
      <c r="PJ113" s="68"/>
      <c r="PK113" s="68"/>
      <c r="PL113" s="68"/>
      <c r="PM113" s="68"/>
      <c r="PN113" s="68"/>
      <c r="PO113" s="68"/>
      <c r="PP113" s="68"/>
      <c r="PQ113" s="68"/>
      <c r="PR113" s="68"/>
      <c r="PS113" s="68"/>
      <c r="PT113" s="68"/>
      <c r="PU113" s="68"/>
      <c r="PV113" s="68"/>
      <c r="PW113" s="68"/>
      <c r="PX113" s="68"/>
      <c r="PY113" s="68"/>
      <c r="PZ113" s="68"/>
      <c r="QA113" s="68"/>
      <c r="QB113" s="68"/>
      <c r="QC113" s="68"/>
      <c r="QD113" s="68"/>
      <c r="QE113" s="68"/>
      <c r="QF113" s="68"/>
      <c r="QG113" s="68"/>
      <c r="QH113" s="68"/>
      <c r="QI113" s="68"/>
      <c r="QJ113" s="68"/>
      <c r="QK113" s="68"/>
      <c r="QL113" s="68"/>
      <c r="QM113" s="68"/>
      <c r="QN113" s="68"/>
      <c r="QO113" s="68"/>
      <c r="QP113" s="68"/>
      <c r="QQ113" s="68"/>
      <c r="QR113" s="68"/>
      <c r="QS113" s="68"/>
      <c r="QT113" s="68"/>
      <c r="QU113" s="68"/>
      <c r="QV113" s="68"/>
      <c r="QW113" s="68"/>
      <c r="QX113" s="68"/>
      <c r="QY113" s="68"/>
      <c r="QZ113" s="68"/>
      <c r="RA113" s="68"/>
      <c r="RB113" s="68"/>
      <c r="RC113" s="68"/>
      <c r="RD113" s="68"/>
      <c r="RE113" s="68"/>
      <c r="RF113" s="68"/>
      <c r="RG113" s="68"/>
      <c r="RH113" s="68"/>
      <c r="RI113" s="68"/>
      <c r="RJ113" s="68"/>
      <c r="RK113" s="68"/>
      <c r="RL113" s="68"/>
      <c r="RM113" s="68"/>
      <c r="RN113" s="68"/>
      <c r="RO113" s="68"/>
      <c r="RP113" s="68"/>
      <c r="RQ113" s="68"/>
      <c r="RR113" s="68"/>
      <c r="RS113" s="68"/>
      <c r="RT113" s="68"/>
      <c r="RU113" s="68"/>
      <c r="RV113" s="68"/>
      <c r="RW113" s="68"/>
      <c r="RX113" s="68"/>
      <c r="RY113" s="68"/>
      <c r="RZ113" s="68"/>
      <c r="SA113" s="68"/>
      <c r="SB113" s="68"/>
      <c r="SC113" s="68"/>
      <c r="SD113" s="68"/>
      <c r="SE113" s="68"/>
      <c r="SF113" s="68"/>
      <c r="SG113" s="68"/>
      <c r="SH113" s="68"/>
      <c r="SI113" s="68"/>
      <c r="SJ113" s="68"/>
      <c r="SK113" s="68"/>
      <c r="SL113" s="68"/>
      <c r="SM113" s="68"/>
      <c r="SN113" s="68"/>
      <c r="SO113" s="68"/>
      <c r="SP113" s="68"/>
      <c r="SQ113" s="68"/>
      <c r="SR113" s="68"/>
      <c r="SS113" s="68"/>
      <c r="ST113" s="68"/>
      <c r="SU113" s="68"/>
      <c r="SV113" s="68"/>
      <c r="SW113" s="68"/>
      <c r="SX113" s="68"/>
      <c r="SY113" s="68"/>
      <c r="SZ113" s="68"/>
      <c r="TA113" s="68"/>
      <c r="TB113" s="68"/>
      <c r="TC113" s="68"/>
      <c r="TD113" s="68"/>
      <c r="TE113" s="68"/>
      <c r="TF113" s="68"/>
      <c r="TG113" s="68"/>
      <c r="TH113" s="68"/>
      <c r="TI113" s="68"/>
      <c r="TJ113" s="68"/>
      <c r="TK113" s="68"/>
      <c r="TL113" s="68"/>
      <c r="TM113" s="68"/>
      <c r="TN113" s="68"/>
      <c r="TO113" s="68"/>
      <c r="TP113" s="68"/>
      <c r="TQ113" s="68"/>
      <c r="TR113" s="68"/>
      <c r="TS113" s="68"/>
      <c r="TT113" s="68"/>
      <c r="TU113" s="68"/>
      <c r="TV113" s="68"/>
      <c r="TW113" s="68"/>
      <c r="TX113" s="68"/>
      <c r="TY113" s="68"/>
      <c r="TZ113" s="68"/>
      <c r="UA113" s="68"/>
      <c r="UB113" s="68"/>
      <c r="UC113" s="68"/>
      <c r="UD113" s="68"/>
      <c r="UE113" s="68"/>
      <c r="UF113" s="68"/>
      <c r="UG113" s="68"/>
      <c r="UH113" s="68"/>
      <c r="UI113" s="68"/>
      <c r="UJ113" s="68"/>
      <c r="UK113" s="68"/>
      <c r="UL113" s="68"/>
      <c r="UM113" s="68"/>
      <c r="UN113" s="68"/>
      <c r="UO113" s="68"/>
      <c r="UP113" s="68"/>
      <c r="UQ113" s="68"/>
      <c r="UR113" s="68"/>
      <c r="US113" s="68"/>
      <c r="UT113" s="68"/>
      <c r="UU113" s="68"/>
      <c r="UV113" s="68"/>
      <c r="UW113" s="68"/>
      <c r="UX113" s="68"/>
      <c r="UY113" s="68"/>
      <c r="UZ113" s="68"/>
      <c r="VA113" s="68"/>
      <c r="VB113" s="68"/>
      <c r="VC113" s="68"/>
      <c r="VD113" s="68"/>
      <c r="VE113" s="68"/>
      <c r="VF113" s="68"/>
      <c r="VG113" s="68"/>
      <c r="VH113" s="68"/>
      <c r="VI113" s="68"/>
      <c r="VJ113" s="68"/>
      <c r="VK113" s="68"/>
      <c r="VL113" s="68"/>
      <c r="VM113" s="68"/>
      <c r="VN113" s="68"/>
      <c r="VO113" s="68"/>
      <c r="VP113" s="68"/>
      <c r="VQ113" s="68"/>
      <c r="VR113" s="68"/>
      <c r="VS113" s="68"/>
      <c r="VT113" s="68"/>
      <c r="VU113" s="68"/>
      <c r="VV113" s="68"/>
      <c r="VW113" s="68"/>
      <c r="VX113" s="68"/>
      <c r="VY113" s="68"/>
      <c r="VZ113" s="68"/>
      <c r="WA113" s="68"/>
      <c r="WB113" s="68"/>
      <c r="WC113" s="68"/>
      <c r="WD113" s="68"/>
      <c r="WE113" s="68"/>
      <c r="WF113" s="68"/>
      <c r="WG113" s="68"/>
      <c r="WH113" s="68"/>
      <c r="WI113" s="68"/>
      <c r="WJ113" s="68"/>
      <c r="WK113" s="68"/>
      <c r="WL113" s="68"/>
      <c r="WM113" s="68"/>
      <c r="WN113" s="68"/>
      <c r="WO113" s="68"/>
      <c r="WP113" s="68"/>
      <c r="WQ113" s="68"/>
      <c r="WR113" s="68"/>
      <c r="WS113" s="68"/>
      <c r="WT113" s="68"/>
      <c r="WU113" s="68"/>
      <c r="WV113" s="68"/>
      <c r="WW113" s="68"/>
      <c r="WX113" s="68"/>
      <c r="WY113" s="68"/>
      <c r="WZ113" s="68"/>
      <c r="XA113" s="68"/>
      <c r="XB113" s="68"/>
      <c r="XC113" s="68"/>
      <c r="XD113" s="68"/>
      <c r="XE113" s="68"/>
      <c r="XF113" s="68"/>
      <c r="XG113" s="68"/>
      <c r="XH113" s="68"/>
      <c r="XI113" s="68"/>
      <c r="XJ113" s="68"/>
      <c r="XK113" s="68"/>
      <c r="XL113" s="68"/>
      <c r="XM113" s="68"/>
      <c r="XN113" s="68"/>
      <c r="XO113" s="68"/>
      <c r="XP113" s="68"/>
      <c r="XQ113" s="68"/>
      <c r="XR113" s="68"/>
      <c r="XS113" s="68"/>
      <c r="XT113" s="68"/>
      <c r="XU113" s="68"/>
      <c r="XV113" s="68"/>
      <c r="XW113" s="68"/>
      <c r="XX113" s="68"/>
      <c r="XY113" s="68"/>
      <c r="XZ113" s="68"/>
      <c r="YA113" s="68"/>
      <c r="YB113" s="68"/>
      <c r="YC113" s="68"/>
      <c r="YD113" s="68"/>
      <c r="YE113" s="68"/>
      <c r="YF113" s="68"/>
      <c r="YG113" s="68"/>
      <c r="YH113" s="68"/>
      <c r="YI113" s="68"/>
      <c r="YJ113" s="68"/>
      <c r="YK113" s="68"/>
      <c r="YL113" s="68"/>
      <c r="YM113" s="68"/>
      <c r="YN113" s="68"/>
      <c r="YO113" s="68"/>
      <c r="YP113" s="68"/>
      <c r="YQ113" s="68"/>
      <c r="YR113" s="68"/>
      <c r="YS113" s="68"/>
      <c r="YT113" s="68"/>
      <c r="YU113" s="68"/>
      <c r="YV113" s="68"/>
      <c r="YW113" s="68"/>
      <c r="YX113" s="68"/>
      <c r="YY113" s="68"/>
      <c r="YZ113" s="68"/>
      <c r="ZA113" s="68"/>
      <c r="ZB113" s="68"/>
      <c r="ZC113" s="68"/>
      <c r="ZD113" s="68"/>
      <c r="ZE113" s="68"/>
      <c r="ZF113" s="68"/>
      <c r="ZG113" s="68"/>
      <c r="ZH113" s="68"/>
      <c r="ZI113" s="68"/>
      <c r="ZJ113" s="68"/>
      <c r="ZK113" s="68"/>
      <c r="ZL113" s="68"/>
      <c r="ZM113" s="68"/>
      <c r="ZN113" s="68"/>
      <c r="ZO113" s="68"/>
      <c r="ZP113" s="68"/>
      <c r="ZQ113" s="68"/>
      <c r="ZR113" s="68"/>
      <c r="ZS113" s="68"/>
      <c r="ZT113" s="68"/>
      <c r="ZU113" s="68"/>
      <c r="ZV113" s="68"/>
      <c r="ZW113" s="68"/>
      <c r="ZX113" s="68"/>
      <c r="ZY113" s="68"/>
      <c r="ZZ113" s="68"/>
      <c r="AAA113" s="68"/>
      <c r="AAB113" s="68"/>
      <c r="AAC113" s="68"/>
      <c r="AAD113" s="68"/>
      <c r="AAE113" s="68"/>
      <c r="AAF113" s="68"/>
      <c r="AAG113" s="68"/>
      <c r="AAH113" s="68"/>
      <c r="AAI113" s="68"/>
      <c r="AAJ113" s="68"/>
      <c r="AAK113" s="68"/>
      <c r="AAL113" s="68"/>
      <c r="AAM113" s="68"/>
      <c r="AAN113" s="68"/>
      <c r="AAO113" s="68"/>
      <c r="AAP113" s="68"/>
      <c r="AAQ113" s="68"/>
      <c r="AAR113" s="68"/>
      <c r="AAS113" s="68"/>
      <c r="AAT113" s="68"/>
      <c r="AAU113" s="68"/>
      <c r="AAV113" s="68"/>
      <c r="AAW113" s="68"/>
      <c r="AAX113" s="68"/>
      <c r="AAY113" s="68"/>
      <c r="AAZ113" s="68"/>
      <c r="ABA113" s="68"/>
      <c r="ABB113" s="68"/>
      <c r="ABC113" s="68"/>
      <c r="ABD113" s="68"/>
      <c r="ABE113" s="68"/>
      <c r="ABF113" s="68"/>
      <c r="ABG113" s="68"/>
      <c r="ABH113" s="68"/>
      <c r="ABI113" s="68"/>
      <c r="ABJ113" s="68"/>
      <c r="ABK113" s="68"/>
      <c r="ABL113" s="68"/>
      <c r="ABM113" s="68"/>
      <c r="ABN113" s="68"/>
      <c r="ABO113" s="68"/>
      <c r="ABP113" s="68"/>
      <c r="ABQ113" s="68"/>
      <c r="ABR113" s="68"/>
      <c r="ABS113" s="68"/>
      <c r="ABT113" s="68"/>
      <c r="ABU113" s="68"/>
      <c r="ABV113" s="68"/>
      <c r="ABW113" s="68"/>
      <c r="ABX113" s="68"/>
      <c r="ABY113" s="68"/>
      <c r="ABZ113" s="68"/>
      <c r="ACA113" s="68"/>
      <c r="ACB113" s="68"/>
      <c r="ACC113" s="68"/>
      <c r="ACD113" s="68"/>
      <c r="ACE113" s="68"/>
      <c r="ACF113" s="68"/>
      <c r="ACG113" s="68"/>
      <c r="ACH113" s="68"/>
      <c r="ACI113" s="68"/>
      <c r="ACJ113" s="68"/>
      <c r="ACK113" s="68"/>
      <c r="ACL113" s="68"/>
      <c r="ACM113" s="68"/>
      <c r="ACN113" s="68"/>
      <c r="ACO113" s="68"/>
      <c r="ACP113" s="68"/>
      <c r="ACQ113" s="68"/>
      <c r="ACR113" s="68"/>
      <c r="ACS113" s="68"/>
      <c r="ACT113" s="68"/>
      <c r="ACU113" s="68"/>
      <c r="ACV113" s="68"/>
      <c r="ACW113" s="68"/>
      <c r="ACX113" s="68"/>
      <c r="ACY113" s="68"/>
      <c r="ACZ113" s="68"/>
      <c r="ADA113" s="68"/>
      <c r="ADB113" s="68"/>
      <c r="ADC113" s="68"/>
      <c r="ADD113" s="68"/>
      <c r="ADE113" s="68"/>
      <c r="ADF113" s="68"/>
      <c r="ADG113" s="68"/>
      <c r="ADH113" s="68"/>
      <c r="ADI113" s="68"/>
      <c r="ADJ113" s="68"/>
      <c r="ADK113" s="68"/>
      <c r="ADL113" s="68"/>
      <c r="ADM113" s="68"/>
      <c r="ADN113" s="68"/>
      <c r="ADO113" s="68"/>
      <c r="ADP113" s="68"/>
      <c r="ADQ113" s="68"/>
      <c r="ADR113" s="68"/>
      <c r="ADS113" s="68"/>
      <c r="ADT113" s="68"/>
      <c r="ADU113" s="68"/>
      <c r="ADV113" s="68"/>
      <c r="ADW113" s="68"/>
      <c r="ADX113" s="68"/>
      <c r="ADY113" s="68"/>
      <c r="ADZ113" s="68"/>
      <c r="AEA113" s="68"/>
      <c r="AEB113" s="68"/>
      <c r="AEC113" s="68"/>
      <c r="AED113" s="68"/>
      <c r="AEE113" s="68"/>
      <c r="AEF113" s="68"/>
      <c r="AEG113" s="68"/>
      <c r="AEH113" s="68"/>
      <c r="AEI113" s="68"/>
      <c r="AEJ113" s="68"/>
      <c r="AEK113" s="68"/>
      <c r="AEL113" s="68"/>
      <c r="AEM113" s="68"/>
      <c r="AEN113" s="68"/>
      <c r="AEO113" s="68"/>
      <c r="AEP113" s="68"/>
      <c r="AEQ113" s="68"/>
      <c r="AER113" s="68"/>
      <c r="AES113" s="68"/>
      <c r="AET113" s="68"/>
      <c r="AEU113" s="68"/>
      <c r="AEV113" s="68"/>
      <c r="AEW113" s="68"/>
      <c r="AEX113" s="68"/>
      <c r="AEY113" s="68"/>
      <c r="AEZ113" s="68"/>
      <c r="AFA113" s="68"/>
      <c r="AFB113" s="68"/>
      <c r="AFC113" s="68"/>
      <c r="AFD113" s="68"/>
      <c r="AFE113" s="68"/>
      <c r="AFF113" s="68"/>
      <c r="AFG113" s="68"/>
      <c r="AFH113" s="68"/>
      <c r="AFI113" s="68"/>
      <c r="AFJ113" s="68"/>
      <c r="AFK113" s="68"/>
      <c r="AFL113" s="68"/>
      <c r="AFM113" s="68"/>
      <c r="AFN113" s="68"/>
      <c r="AFO113" s="68"/>
      <c r="AFP113" s="68"/>
      <c r="AFQ113" s="68"/>
      <c r="AFR113" s="68"/>
      <c r="AFS113" s="68"/>
      <c r="AFT113" s="68"/>
      <c r="AFU113" s="68"/>
      <c r="AFV113" s="68"/>
      <c r="AFW113" s="68"/>
      <c r="AFX113" s="68"/>
      <c r="AFY113" s="68"/>
      <c r="AFZ113" s="68"/>
      <c r="AGA113" s="68"/>
      <c r="AGB113" s="68"/>
      <c r="AGC113" s="68"/>
      <c r="AGD113" s="68"/>
      <c r="AGE113" s="68"/>
      <c r="AGF113" s="68"/>
      <c r="AGG113" s="68"/>
      <c r="AGH113" s="68"/>
      <c r="AGI113" s="68"/>
      <c r="AGJ113" s="68"/>
      <c r="AGK113" s="68"/>
      <c r="AGL113" s="68"/>
      <c r="AGM113" s="68"/>
      <c r="AGN113" s="68"/>
      <c r="AGO113" s="68"/>
      <c r="AGP113" s="68"/>
      <c r="AGQ113" s="68"/>
      <c r="AGR113" s="68"/>
      <c r="AGS113" s="68"/>
      <c r="AGT113" s="68"/>
      <c r="AGU113" s="68"/>
      <c r="AGV113" s="68"/>
      <c r="AGW113" s="68"/>
      <c r="AGX113" s="68"/>
      <c r="AGY113" s="68"/>
      <c r="AGZ113" s="68"/>
      <c r="AHA113" s="68"/>
      <c r="AHB113" s="68"/>
      <c r="AHC113" s="68"/>
      <c r="AHD113" s="68"/>
      <c r="AHE113" s="68"/>
      <c r="AHF113" s="68"/>
      <c r="AHG113" s="68"/>
      <c r="AHH113" s="68"/>
      <c r="AHI113" s="68"/>
      <c r="AHJ113" s="68"/>
      <c r="AHK113" s="68"/>
      <c r="AHL113" s="68"/>
      <c r="AHM113" s="68"/>
      <c r="AHN113" s="68"/>
      <c r="AHO113" s="68"/>
      <c r="AHP113" s="68"/>
      <c r="AHQ113" s="68"/>
      <c r="AHR113" s="68"/>
      <c r="AHS113" s="68"/>
      <c r="AHT113" s="68"/>
      <c r="AHU113" s="68"/>
      <c r="AHV113" s="68"/>
      <c r="AHW113" s="68"/>
      <c r="AHX113" s="68"/>
      <c r="AHY113" s="68"/>
      <c r="AHZ113" s="68"/>
      <c r="AIA113" s="68"/>
      <c r="AIB113" s="68"/>
      <c r="AIC113" s="68"/>
      <c r="AID113" s="68"/>
      <c r="AIE113" s="68"/>
      <c r="AIF113" s="68"/>
      <c r="AIG113" s="68"/>
      <c r="AIH113" s="68"/>
      <c r="AII113" s="68"/>
      <c r="AIJ113" s="68"/>
      <c r="AIK113" s="68"/>
      <c r="AIL113" s="68"/>
      <c r="AIM113" s="68"/>
      <c r="AIN113" s="68"/>
      <c r="AIO113" s="68"/>
      <c r="AIP113" s="68"/>
      <c r="AIQ113" s="68"/>
      <c r="AIR113" s="68"/>
      <c r="AIS113" s="68"/>
      <c r="AIT113" s="68"/>
      <c r="AIU113" s="68"/>
      <c r="AIV113" s="68"/>
      <c r="AIW113" s="68"/>
      <c r="AIX113" s="68"/>
      <c r="AIY113" s="68"/>
      <c r="AIZ113" s="68"/>
      <c r="AJA113" s="68"/>
      <c r="AJB113" s="68"/>
      <c r="AJC113" s="68"/>
    </row>
    <row r="114" spans="1:939" s="97" customFormat="1" ht="121.5" outlineLevel="1" x14ac:dyDescent="0.25">
      <c r="A114" s="143">
        <v>71</v>
      </c>
      <c r="B114" s="144" t="s">
        <v>246</v>
      </c>
      <c r="C114" s="144" t="s">
        <v>244</v>
      </c>
      <c r="D114" s="145"/>
      <c r="E114" s="146"/>
      <c r="F114" s="146"/>
      <c r="G114" s="146"/>
      <c r="H114" s="146"/>
      <c r="I114" s="146"/>
      <c r="J114" s="146"/>
      <c r="K114" s="147" t="s">
        <v>255</v>
      </c>
      <c r="L114" s="147" t="s">
        <v>247</v>
      </c>
      <c r="M114" s="148" t="s">
        <v>51</v>
      </c>
      <c r="N114" s="13">
        <v>574491741</v>
      </c>
      <c r="O114" s="13">
        <f t="shared" ref="O114:O138" si="22">IF(M114=$B$150,N114,IF(M114=$B$152,N114*$C$152/$C$150,IF(M114=$B$151,N114*$C$151/$C$150,IF(M114=$B$149,N114/$C$150))))</f>
        <v>1419234.0250500259</v>
      </c>
      <c r="P114" s="13">
        <v>574491741</v>
      </c>
      <c r="Q114" s="149">
        <v>1E-4</v>
      </c>
      <c r="R114" s="13">
        <f>132575017.2</f>
        <v>132575017.2</v>
      </c>
      <c r="S114" s="13">
        <f>85623+14165+39966.7</f>
        <v>139754.70000000001</v>
      </c>
      <c r="T114" s="150">
        <f t="shared" si="21"/>
        <v>441916723.80000001</v>
      </c>
      <c r="U114" s="151">
        <f t="shared" ref="U114:U138" si="23">IF(M114=$B$150,T114,IF(M114=$B$152,T114*$C$152/$C$150,IF(M114=$B$151,T114*$C$151/$C$150,IF(M114=$B$149,T114/$C$150))))</f>
        <v>1091718.480693693</v>
      </c>
      <c r="V114" s="152" t="s">
        <v>248</v>
      </c>
      <c r="W114" s="153"/>
      <c r="X114" s="96"/>
    </row>
    <row r="115" spans="1:939" s="97" customFormat="1" ht="121.5" outlineLevel="1" x14ac:dyDescent="0.25">
      <c r="A115" s="154">
        <v>72</v>
      </c>
      <c r="B115" s="155" t="s">
        <v>249</v>
      </c>
      <c r="C115" s="155" t="s">
        <v>244</v>
      </c>
      <c r="D115" s="145"/>
      <c r="E115" s="146"/>
      <c r="F115" s="146"/>
      <c r="G115" s="146"/>
      <c r="H115" s="146"/>
      <c r="I115" s="146"/>
      <c r="J115" s="146"/>
      <c r="K115" s="147" t="s">
        <v>256</v>
      </c>
      <c r="L115" s="147" t="s">
        <v>250</v>
      </c>
      <c r="M115" s="148" t="s">
        <v>51</v>
      </c>
      <c r="N115" s="156">
        <v>98612371</v>
      </c>
      <c r="O115" s="156">
        <f t="shared" si="22"/>
        <v>243613.65399342868</v>
      </c>
      <c r="P115" s="14">
        <v>98612371</v>
      </c>
      <c r="Q115" s="157">
        <v>1E-4</v>
      </c>
      <c r="R115" s="14"/>
      <c r="S115" s="14">
        <v>17060</v>
      </c>
      <c r="T115" s="158">
        <f t="shared" si="21"/>
        <v>98612371</v>
      </c>
      <c r="U115" s="151">
        <f t="shared" si="23"/>
        <v>243613.65399342868</v>
      </c>
      <c r="V115" s="159" t="s">
        <v>251</v>
      </c>
      <c r="W115" s="160"/>
      <c r="X115" s="96"/>
    </row>
    <row r="116" spans="1:939" s="97" customFormat="1" ht="121.5" outlineLevel="1" x14ac:dyDescent="0.25">
      <c r="A116" s="154">
        <v>73</v>
      </c>
      <c r="B116" s="155" t="s">
        <v>252</v>
      </c>
      <c r="C116" s="155" t="s">
        <v>244</v>
      </c>
      <c r="D116" s="145"/>
      <c r="E116" s="146"/>
      <c r="F116" s="146"/>
      <c r="G116" s="146"/>
      <c r="H116" s="146"/>
      <c r="I116" s="146"/>
      <c r="J116" s="146"/>
      <c r="K116" s="147" t="s">
        <v>257</v>
      </c>
      <c r="L116" s="147" t="s">
        <v>280</v>
      </c>
      <c r="M116" s="148" t="s">
        <v>51</v>
      </c>
      <c r="N116" s="156">
        <v>60132468</v>
      </c>
      <c r="O116" s="156">
        <f t="shared" si="22"/>
        <v>148552.25672570962</v>
      </c>
      <c r="P116" s="14">
        <v>60132468</v>
      </c>
      <c r="Q116" s="157">
        <v>1E-4</v>
      </c>
      <c r="R116" s="360">
        <f>4625574.5+4625574.5+4625574.5+4625574.5+4625575+4625575+4625575</f>
        <v>32379023</v>
      </c>
      <c r="S116" s="360">
        <f>10367+1511.2+1400+1500+1500+1000+20000+1000</f>
        <v>38278.199999999997</v>
      </c>
      <c r="T116" s="158">
        <f t="shared" si="21"/>
        <v>27753445</v>
      </c>
      <c r="U116" s="151">
        <f t="shared" si="23"/>
        <v>68562.575656513247</v>
      </c>
      <c r="V116" s="159" t="s">
        <v>253</v>
      </c>
      <c r="W116" s="161"/>
      <c r="X116" s="162"/>
    </row>
    <row r="117" spans="1:939" s="97" customFormat="1" ht="121.5" outlineLevel="1" x14ac:dyDescent="0.25">
      <c r="A117" s="154">
        <v>74</v>
      </c>
      <c r="B117" s="155" t="s">
        <v>258</v>
      </c>
      <c r="C117" s="155" t="s">
        <v>244</v>
      </c>
      <c r="D117" s="145"/>
      <c r="E117" s="146"/>
      <c r="F117" s="146"/>
      <c r="G117" s="146"/>
      <c r="H117" s="146"/>
      <c r="I117" s="146"/>
      <c r="J117" s="146"/>
      <c r="K117" s="147" t="s">
        <v>245</v>
      </c>
      <c r="L117" s="147" t="s">
        <v>281</v>
      </c>
      <c r="M117" s="148" t="s">
        <v>51</v>
      </c>
      <c r="N117" s="15">
        <f>9500000+12453199</f>
        <v>21953199</v>
      </c>
      <c r="O117" s="156">
        <f t="shared" si="22"/>
        <v>54233.550730008152</v>
      </c>
      <c r="P117" s="14">
        <f>9500000+12453199</f>
        <v>21953199</v>
      </c>
      <c r="Q117" s="157">
        <v>1E-4</v>
      </c>
      <c r="R117" s="14"/>
      <c r="S117" s="14">
        <v>3720</v>
      </c>
      <c r="T117" s="158">
        <f t="shared" si="21"/>
        <v>21953199</v>
      </c>
      <c r="U117" s="151">
        <f t="shared" si="23"/>
        <v>54233.550730008152</v>
      </c>
      <c r="V117" s="159" t="s">
        <v>283</v>
      </c>
      <c r="W117" s="161"/>
      <c r="X117" s="162"/>
    </row>
    <row r="118" spans="1:939" s="97" customFormat="1" ht="129.75" customHeight="1" outlineLevel="1" x14ac:dyDescent="0.25">
      <c r="A118" s="154">
        <v>75</v>
      </c>
      <c r="B118" s="155" t="s">
        <v>259</v>
      </c>
      <c r="C118" s="155" t="s">
        <v>244</v>
      </c>
      <c r="D118" s="145"/>
      <c r="E118" s="146"/>
      <c r="F118" s="146"/>
      <c r="G118" s="146"/>
      <c r="H118" s="146"/>
      <c r="I118" s="146"/>
      <c r="J118" s="146"/>
      <c r="K118" s="147" t="s">
        <v>245</v>
      </c>
      <c r="L118" s="147" t="s">
        <v>282</v>
      </c>
      <c r="M118" s="148" t="s">
        <v>51</v>
      </c>
      <c r="N118" s="156">
        <v>15801400</v>
      </c>
      <c r="O118" s="156">
        <f t="shared" si="22"/>
        <v>39036.043380518291</v>
      </c>
      <c r="P118" s="14">
        <v>15801400</v>
      </c>
      <c r="Q118" s="157">
        <v>1E-4</v>
      </c>
      <c r="R118" s="14"/>
      <c r="S118" s="14">
        <v>3500</v>
      </c>
      <c r="T118" s="158">
        <f t="shared" si="21"/>
        <v>15801400</v>
      </c>
      <c r="U118" s="151">
        <f t="shared" si="23"/>
        <v>39036.043380518291</v>
      </c>
      <c r="V118" s="159" t="s">
        <v>284</v>
      </c>
      <c r="W118" s="161"/>
      <c r="X118" s="162"/>
    </row>
    <row r="119" spans="1:939" s="97" customFormat="1" ht="129.75" customHeight="1" outlineLevel="1" x14ac:dyDescent="0.25">
      <c r="A119" s="154">
        <v>76</v>
      </c>
      <c r="B119" s="155" t="s">
        <v>260</v>
      </c>
      <c r="C119" s="155" t="s">
        <v>244</v>
      </c>
      <c r="D119" s="145"/>
      <c r="E119" s="146"/>
      <c r="F119" s="146"/>
      <c r="G119" s="146"/>
      <c r="H119" s="146"/>
      <c r="I119" s="146"/>
      <c r="J119" s="146"/>
      <c r="K119" s="147" t="s">
        <v>245</v>
      </c>
      <c r="L119" s="147" t="s">
        <v>282</v>
      </c>
      <c r="M119" s="148" t="s">
        <v>51</v>
      </c>
      <c r="N119" s="156">
        <v>2554000</v>
      </c>
      <c r="O119" s="156">
        <f t="shared" si="22"/>
        <v>6309.4444032708316</v>
      </c>
      <c r="P119" s="14">
        <v>2554000</v>
      </c>
      <c r="Q119" s="157">
        <v>1E-4</v>
      </c>
      <c r="R119" s="14"/>
      <c r="S119" s="14">
        <f>500</f>
        <v>500</v>
      </c>
      <c r="T119" s="158">
        <f t="shared" si="21"/>
        <v>2554000</v>
      </c>
      <c r="U119" s="151">
        <f t="shared" si="23"/>
        <v>6309.4444032708316</v>
      </c>
      <c r="V119" s="159" t="s">
        <v>285</v>
      </c>
      <c r="W119" s="161"/>
      <c r="X119" s="162"/>
    </row>
    <row r="120" spans="1:939" s="97" customFormat="1" ht="129.75" customHeight="1" outlineLevel="1" x14ac:dyDescent="0.25">
      <c r="A120" s="154">
        <v>77</v>
      </c>
      <c r="B120" s="155" t="s">
        <v>261</v>
      </c>
      <c r="C120" s="155" t="s">
        <v>244</v>
      </c>
      <c r="D120" s="145"/>
      <c r="E120" s="146"/>
      <c r="F120" s="146"/>
      <c r="G120" s="146"/>
      <c r="H120" s="146"/>
      <c r="I120" s="146"/>
      <c r="J120" s="146"/>
      <c r="K120" s="147" t="s">
        <v>245</v>
      </c>
      <c r="L120" s="147" t="s">
        <v>286</v>
      </c>
      <c r="M120" s="148" t="s">
        <v>51</v>
      </c>
      <c r="N120" s="156">
        <v>29053320</v>
      </c>
      <c r="O120" s="156">
        <f t="shared" si="22"/>
        <v>71773.808641517826</v>
      </c>
      <c r="P120" s="14">
        <v>29053320</v>
      </c>
      <c r="Q120" s="157">
        <v>1E-4</v>
      </c>
      <c r="R120" s="14"/>
      <c r="S120" s="14">
        <f>2000+3000</f>
        <v>5000</v>
      </c>
      <c r="T120" s="158">
        <f t="shared" si="21"/>
        <v>29053320</v>
      </c>
      <c r="U120" s="151">
        <f t="shared" si="23"/>
        <v>71773.808641517826</v>
      </c>
      <c r="V120" s="159" t="s">
        <v>268</v>
      </c>
      <c r="W120" s="161"/>
      <c r="X120" s="162"/>
    </row>
    <row r="121" spans="1:939" s="97" customFormat="1" ht="129.75" customHeight="1" outlineLevel="1" x14ac:dyDescent="0.25">
      <c r="A121" s="154">
        <v>78</v>
      </c>
      <c r="B121" s="155" t="s">
        <v>262</v>
      </c>
      <c r="C121" s="155" t="s">
        <v>244</v>
      </c>
      <c r="D121" s="145"/>
      <c r="E121" s="146"/>
      <c r="F121" s="146"/>
      <c r="G121" s="146"/>
      <c r="H121" s="146"/>
      <c r="I121" s="146"/>
      <c r="J121" s="146"/>
      <c r="K121" s="147" t="s">
        <v>245</v>
      </c>
      <c r="L121" s="147" t="s">
        <v>287</v>
      </c>
      <c r="M121" s="148" t="s">
        <v>51</v>
      </c>
      <c r="N121" s="156">
        <v>192064443</v>
      </c>
      <c r="O121" s="156">
        <f t="shared" si="22"/>
        <v>474479.2188542207</v>
      </c>
      <c r="P121" s="14">
        <f>95000000+97064443</f>
        <v>192064443</v>
      </c>
      <c r="Q121" s="157">
        <v>1E-4</v>
      </c>
      <c r="R121" s="14">
        <f>65000000+20000000</f>
        <v>85000000</v>
      </c>
      <c r="S121" s="14">
        <f>16100+12200+23933</f>
        <v>52233</v>
      </c>
      <c r="T121" s="158">
        <f t="shared" si="21"/>
        <v>107064443</v>
      </c>
      <c r="U121" s="151">
        <f t="shared" si="23"/>
        <v>264493.79431310063</v>
      </c>
      <c r="V121" s="159" t="s">
        <v>350</v>
      </c>
      <c r="W121" s="161"/>
      <c r="X121" s="162"/>
    </row>
    <row r="122" spans="1:939" s="97" customFormat="1" ht="129.75" customHeight="1" outlineLevel="1" x14ac:dyDescent="0.25">
      <c r="A122" s="154">
        <v>79</v>
      </c>
      <c r="B122" s="155" t="s">
        <v>263</v>
      </c>
      <c r="C122" s="155" t="s">
        <v>244</v>
      </c>
      <c r="D122" s="145"/>
      <c r="E122" s="146"/>
      <c r="F122" s="146"/>
      <c r="G122" s="146"/>
      <c r="H122" s="146"/>
      <c r="I122" s="146"/>
      <c r="J122" s="146"/>
      <c r="K122" s="147" t="s">
        <v>245</v>
      </c>
      <c r="L122" s="147" t="s">
        <v>288</v>
      </c>
      <c r="M122" s="148" t="s">
        <v>51</v>
      </c>
      <c r="N122" s="156">
        <v>3469534</v>
      </c>
      <c r="O122" s="156">
        <f t="shared" si="22"/>
        <v>8571.1949405864762</v>
      </c>
      <c r="P122" s="14">
        <v>3469534</v>
      </c>
      <c r="Q122" s="157">
        <v>1E-4</v>
      </c>
      <c r="R122" s="14">
        <v>266887</v>
      </c>
      <c r="S122" s="14">
        <f>600+86</f>
        <v>686</v>
      </c>
      <c r="T122" s="158">
        <f t="shared" si="21"/>
        <v>3202647</v>
      </c>
      <c r="U122" s="151">
        <f t="shared" si="23"/>
        <v>7911.8728229452308</v>
      </c>
      <c r="V122" s="159" t="s">
        <v>289</v>
      </c>
      <c r="W122" s="161"/>
      <c r="X122" s="162"/>
    </row>
    <row r="123" spans="1:939" s="97" customFormat="1" ht="129.75" customHeight="1" outlineLevel="1" x14ac:dyDescent="0.25">
      <c r="A123" s="154">
        <v>80</v>
      </c>
      <c r="B123" s="155" t="s">
        <v>270</v>
      </c>
      <c r="C123" s="155" t="s">
        <v>244</v>
      </c>
      <c r="D123" s="145"/>
      <c r="E123" s="146"/>
      <c r="F123" s="146"/>
      <c r="G123" s="146"/>
      <c r="H123" s="146"/>
      <c r="I123" s="146"/>
      <c r="J123" s="146"/>
      <c r="K123" s="147" t="s">
        <v>245</v>
      </c>
      <c r="L123" s="147" t="s">
        <v>291</v>
      </c>
      <c r="M123" s="148" t="s">
        <v>51</v>
      </c>
      <c r="N123" s="156">
        <v>11781702</v>
      </c>
      <c r="O123" s="156">
        <f t="shared" si="22"/>
        <v>29105.714073964275</v>
      </c>
      <c r="P123" s="14">
        <v>11781702</v>
      </c>
      <c r="Q123" s="157">
        <v>1E-4</v>
      </c>
      <c r="R123" s="360">
        <f>906285+906285+906285+906285+906285+906285+906285</f>
        <v>6343995</v>
      </c>
      <c r="S123" s="14">
        <f>3000+1500+1500</f>
        <v>6000</v>
      </c>
      <c r="T123" s="158">
        <f t="shared" si="21"/>
        <v>5437707</v>
      </c>
      <c r="U123" s="151">
        <f t="shared" si="23"/>
        <v>13433.402505002594</v>
      </c>
      <c r="V123" s="159" t="s">
        <v>290</v>
      </c>
      <c r="W123" s="161"/>
      <c r="X123" s="162"/>
    </row>
    <row r="124" spans="1:939" s="97" customFormat="1" ht="129.75" customHeight="1" outlineLevel="1" x14ac:dyDescent="0.25">
      <c r="A124" s="154">
        <v>81</v>
      </c>
      <c r="B124" s="155" t="s">
        <v>264</v>
      </c>
      <c r="C124" s="155" t="s">
        <v>244</v>
      </c>
      <c r="D124" s="145"/>
      <c r="E124" s="146"/>
      <c r="F124" s="146"/>
      <c r="G124" s="146"/>
      <c r="H124" s="146"/>
      <c r="I124" s="146"/>
      <c r="J124" s="146"/>
      <c r="K124" s="147" t="s">
        <v>245</v>
      </c>
      <c r="L124" s="147" t="s">
        <v>292</v>
      </c>
      <c r="M124" s="148" t="s">
        <v>51</v>
      </c>
      <c r="N124" s="156">
        <f>112000000+16200000</f>
        <v>128200000</v>
      </c>
      <c r="O124" s="156">
        <f t="shared" si="22"/>
        <v>316707.42854319524</v>
      </c>
      <c r="P124" s="14">
        <f>112000000+16200000</f>
        <v>128200000</v>
      </c>
      <c r="Q124" s="157">
        <v>1E-4</v>
      </c>
      <c r="R124" s="14">
        <f>3000000+3000000</f>
        <v>6000000</v>
      </c>
      <c r="S124" s="14">
        <f>25640+12820</f>
        <v>38460</v>
      </c>
      <c r="T124" s="158">
        <f t="shared" si="21"/>
        <v>122200000</v>
      </c>
      <c r="U124" s="151">
        <f t="shared" si="23"/>
        <v>301884.92798735143</v>
      </c>
      <c r="V124" s="159" t="s">
        <v>293</v>
      </c>
      <c r="W124" s="161"/>
      <c r="X124" s="162"/>
    </row>
    <row r="125" spans="1:939" s="97" customFormat="1" ht="129.75" customHeight="1" outlineLevel="1" x14ac:dyDescent="0.25">
      <c r="A125" s="154">
        <v>82</v>
      </c>
      <c r="B125" s="155" t="s">
        <v>271</v>
      </c>
      <c r="C125" s="155" t="s">
        <v>244</v>
      </c>
      <c r="D125" s="145"/>
      <c r="E125" s="146"/>
      <c r="F125" s="146"/>
      <c r="G125" s="146"/>
      <c r="H125" s="146"/>
      <c r="I125" s="146"/>
      <c r="J125" s="146"/>
      <c r="K125" s="147" t="s">
        <v>245</v>
      </c>
      <c r="L125" s="147" t="s">
        <v>294</v>
      </c>
      <c r="M125" s="148" t="s">
        <v>51</v>
      </c>
      <c r="N125" s="156">
        <v>26127500</v>
      </c>
      <c r="O125" s="156">
        <f t="shared" si="22"/>
        <v>64545.813878801353</v>
      </c>
      <c r="P125" s="14">
        <v>26127500</v>
      </c>
      <c r="Q125" s="157">
        <v>1E-4</v>
      </c>
      <c r="R125" s="14"/>
      <c r="S125" s="14">
        <f>4530</f>
        <v>4530</v>
      </c>
      <c r="T125" s="158">
        <f t="shared" si="21"/>
        <v>26127500</v>
      </c>
      <c r="U125" s="151">
        <f t="shared" si="23"/>
        <v>64545.813878801353</v>
      </c>
      <c r="V125" s="159" t="s">
        <v>349</v>
      </c>
      <c r="W125" s="161"/>
      <c r="X125" s="162"/>
    </row>
    <row r="126" spans="1:939" s="97" customFormat="1" ht="129.75" customHeight="1" outlineLevel="1" x14ac:dyDescent="0.25">
      <c r="A126" s="154">
        <v>83</v>
      </c>
      <c r="B126" s="155" t="s">
        <v>265</v>
      </c>
      <c r="C126" s="155" t="s">
        <v>244</v>
      </c>
      <c r="D126" s="145"/>
      <c r="E126" s="146"/>
      <c r="F126" s="146"/>
      <c r="G126" s="146"/>
      <c r="H126" s="146"/>
      <c r="I126" s="146"/>
      <c r="J126" s="146"/>
      <c r="K126" s="147" t="s">
        <v>245</v>
      </c>
      <c r="L126" s="147" t="s">
        <v>295</v>
      </c>
      <c r="M126" s="148" t="s">
        <v>51</v>
      </c>
      <c r="N126" s="156">
        <v>19297200</v>
      </c>
      <c r="O126" s="156">
        <f t="shared" si="22"/>
        <v>47672.126287704734</v>
      </c>
      <c r="P126" s="14">
        <f>10800000+3440000+1440000+3617200</f>
        <v>19297200</v>
      </c>
      <c r="Q126" s="157">
        <v>1E-4</v>
      </c>
      <c r="R126" s="14"/>
      <c r="S126" s="14">
        <f>3000</f>
        <v>3000</v>
      </c>
      <c r="T126" s="158">
        <f t="shared" si="21"/>
        <v>19297200</v>
      </c>
      <c r="U126" s="151">
        <f t="shared" si="23"/>
        <v>47672.126287704734</v>
      </c>
      <c r="V126" s="159" t="s">
        <v>310</v>
      </c>
      <c r="W126" s="161"/>
      <c r="X126" s="162"/>
    </row>
    <row r="127" spans="1:939" s="97" customFormat="1" ht="129.75" customHeight="1" outlineLevel="1" x14ac:dyDescent="0.25">
      <c r="A127" s="154">
        <v>84</v>
      </c>
      <c r="B127" s="155" t="s">
        <v>266</v>
      </c>
      <c r="C127" s="155" t="s">
        <v>244</v>
      </c>
      <c r="D127" s="145"/>
      <c r="E127" s="146"/>
      <c r="F127" s="146"/>
      <c r="G127" s="146"/>
      <c r="H127" s="146"/>
      <c r="I127" s="146"/>
      <c r="J127" s="146"/>
      <c r="K127" s="147" t="s">
        <v>245</v>
      </c>
      <c r="L127" s="147" t="s">
        <v>288</v>
      </c>
      <c r="M127" s="148" t="s">
        <v>51</v>
      </c>
      <c r="N127" s="156">
        <v>2164000</v>
      </c>
      <c r="O127" s="156">
        <f t="shared" si="22"/>
        <v>5345.9818671409867</v>
      </c>
      <c r="P127" s="14">
        <v>2164000</v>
      </c>
      <c r="Q127" s="157">
        <v>1E-4</v>
      </c>
      <c r="R127" s="14">
        <f>166462+166462+165000+167000+166500+166500</f>
        <v>997924</v>
      </c>
      <c r="S127" s="14">
        <f>370+54.8+100+100+500</f>
        <v>1124.8</v>
      </c>
      <c r="T127" s="158">
        <f>P127-S127</f>
        <v>2162875.2000000002</v>
      </c>
      <c r="U127" s="151">
        <f t="shared" si="23"/>
        <v>5343.2031423701183</v>
      </c>
      <c r="V127" s="159" t="s">
        <v>269</v>
      </c>
      <c r="W127" s="161"/>
      <c r="X127" s="162"/>
    </row>
    <row r="128" spans="1:939" s="97" customFormat="1" ht="129.75" customHeight="1" outlineLevel="1" x14ac:dyDescent="0.25">
      <c r="A128" s="154">
        <v>85</v>
      </c>
      <c r="B128" s="155" t="s">
        <v>277</v>
      </c>
      <c r="C128" s="155" t="s">
        <v>244</v>
      </c>
      <c r="D128" s="155"/>
      <c r="E128" s="155"/>
      <c r="F128" s="155"/>
      <c r="G128" s="155"/>
      <c r="H128" s="155"/>
      <c r="I128" s="155"/>
      <c r="J128" s="155"/>
      <c r="K128" s="147" t="s">
        <v>245</v>
      </c>
      <c r="L128" s="147" t="s">
        <v>296</v>
      </c>
      <c r="M128" s="148" t="s">
        <v>51</v>
      </c>
      <c r="N128" s="156">
        <v>253504102</v>
      </c>
      <c r="O128" s="156">
        <f t="shared" si="22"/>
        <v>626260.78213394596</v>
      </c>
      <c r="P128" s="14">
        <v>253504102</v>
      </c>
      <c r="Q128" s="157">
        <v>1E-4</v>
      </c>
      <c r="R128" s="14">
        <f>19500316+19500316+19500315+19500315+19500315+19500315</f>
        <v>117001892</v>
      </c>
      <c r="S128" s="277">
        <f>5973+6390+6181+6389+6181.4+6390+6390+6390+6389+5407+7015+5059.2+9482.9</f>
        <v>83637.499999999985</v>
      </c>
      <c r="T128" s="158">
        <f t="shared" ref="T128:T137" si="24">P128-R128</f>
        <v>136502210</v>
      </c>
      <c r="U128" s="151">
        <f t="shared" si="23"/>
        <v>337217.34726648382</v>
      </c>
      <c r="V128" s="159" t="s">
        <v>297</v>
      </c>
      <c r="W128" s="161"/>
      <c r="X128" s="162"/>
    </row>
    <row r="129" spans="1:939" s="97" customFormat="1" ht="129.75" customHeight="1" outlineLevel="1" x14ac:dyDescent="0.25">
      <c r="A129" s="154">
        <v>86</v>
      </c>
      <c r="B129" s="155" t="s">
        <v>278</v>
      </c>
      <c r="C129" s="155" t="s">
        <v>244</v>
      </c>
      <c r="D129" s="145"/>
      <c r="E129" s="146"/>
      <c r="F129" s="146"/>
      <c r="G129" s="146"/>
      <c r="H129" s="146"/>
      <c r="I129" s="146"/>
      <c r="J129" s="146"/>
      <c r="K129" s="147" t="s">
        <v>245</v>
      </c>
      <c r="L129" s="147" t="s">
        <v>296</v>
      </c>
      <c r="M129" s="148" t="s">
        <v>51</v>
      </c>
      <c r="N129" s="156">
        <v>76200000</v>
      </c>
      <c r="O129" s="156">
        <f t="shared" si="22"/>
        <v>188245.75705921589</v>
      </c>
      <c r="P129" s="14">
        <v>76200000</v>
      </c>
      <c r="Q129" s="157">
        <v>1E-4</v>
      </c>
      <c r="R129" s="14"/>
      <c r="S129" s="14">
        <f>7620+5520</f>
        <v>13140</v>
      </c>
      <c r="T129" s="158">
        <f t="shared" si="24"/>
        <v>76200000</v>
      </c>
      <c r="U129" s="151">
        <f t="shared" si="23"/>
        <v>188245.75705921589</v>
      </c>
      <c r="V129" s="159" t="s">
        <v>298</v>
      </c>
      <c r="W129" s="161"/>
      <c r="X129" s="162"/>
    </row>
    <row r="130" spans="1:939" s="97" customFormat="1" ht="121.5" outlineLevel="1" x14ac:dyDescent="0.25">
      <c r="A130" s="154">
        <v>87</v>
      </c>
      <c r="B130" s="155" t="s">
        <v>279</v>
      </c>
      <c r="C130" s="155" t="s">
        <v>244</v>
      </c>
      <c r="D130" s="145"/>
      <c r="E130" s="146"/>
      <c r="F130" s="146"/>
      <c r="G130" s="146"/>
      <c r="H130" s="146"/>
      <c r="I130" s="146"/>
      <c r="J130" s="146"/>
      <c r="K130" s="147" t="s">
        <v>245</v>
      </c>
      <c r="L130" s="147" t="s">
        <v>299</v>
      </c>
      <c r="M130" s="148" t="s">
        <v>51</v>
      </c>
      <c r="N130" s="156">
        <v>50613970</v>
      </c>
      <c r="O130" s="156">
        <f t="shared" si="22"/>
        <v>125037.59974307664</v>
      </c>
      <c r="P130" s="14">
        <v>50613970</v>
      </c>
      <c r="Q130" s="157">
        <v>1E-4</v>
      </c>
      <c r="R130" s="14"/>
      <c r="S130" s="14">
        <f>8800+8800</f>
        <v>17600</v>
      </c>
      <c r="T130" s="158">
        <f t="shared" si="24"/>
        <v>50613970</v>
      </c>
      <c r="U130" s="151">
        <f t="shared" si="23"/>
        <v>125037.59974307664</v>
      </c>
      <c r="V130" s="159" t="s">
        <v>300</v>
      </c>
      <c r="W130" s="161"/>
      <c r="X130" s="162"/>
    </row>
    <row r="131" spans="1:939" s="97" customFormat="1" ht="121.5" outlineLevel="1" x14ac:dyDescent="0.25">
      <c r="A131" s="154">
        <v>88</v>
      </c>
      <c r="B131" s="155" t="s">
        <v>311</v>
      </c>
      <c r="C131" s="155" t="s">
        <v>244</v>
      </c>
      <c r="D131" s="145"/>
      <c r="E131" s="146"/>
      <c r="F131" s="146"/>
      <c r="G131" s="146"/>
      <c r="H131" s="146"/>
      <c r="I131" s="146"/>
      <c r="J131" s="146"/>
      <c r="K131" s="147" t="s">
        <v>245</v>
      </c>
      <c r="L131" s="147" t="s">
        <v>312</v>
      </c>
      <c r="M131" s="148" t="s">
        <v>51</v>
      </c>
      <c r="N131" s="156">
        <v>184740000</v>
      </c>
      <c r="O131" s="156">
        <f t="shared" si="22"/>
        <v>456384.7921144297</v>
      </c>
      <c r="P131" s="14">
        <v>184740000</v>
      </c>
      <c r="Q131" s="157">
        <v>1E-4</v>
      </c>
      <c r="R131" s="14"/>
      <c r="S131" s="14">
        <f>31700</f>
        <v>31700</v>
      </c>
      <c r="T131" s="158">
        <f t="shared" si="24"/>
        <v>184740000</v>
      </c>
      <c r="U131" s="151">
        <f t="shared" si="23"/>
        <v>456384.7921144297</v>
      </c>
      <c r="V131" s="159" t="s">
        <v>313</v>
      </c>
      <c r="W131" s="161"/>
      <c r="X131" s="162"/>
    </row>
    <row r="132" spans="1:939" s="97" customFormat="1" ht="121.5" outlineLevel="1" x14ac:dyDescent="0.25">
      <c r="A132" s="154">
        <v>89</v>
      </c>
      <c r="B132" s="155" t="s">
        <v>314</v>
      </c>
      <c r="C132" s="155" t="s">
        <v>244</v>
      </c>
      <c r="D132" s="145"/>
      <c r="E132" s="146"/>
      <c r="F132" s="146"/>
      <c r="G132" s="146"/>
      <c r="H132" s="146"/>
      <c r="I132" s="146"/>
      <c r="J132" s="146"/>
      <c r="K132" s="147" t="s">
        <v>245</v>
      </c>
      <c r="L132" s="147" t="s">
        <v>315</v>
      </c>
      <c r="M132" s="148" t="s">
        <v>51</v>
      </c>
      <c r="N132" s="156">
        <v>219559596</v>
      </c>
      <c r="O132" s="156">
        <f t="shared" si="22"/>
        <v>542403.70562513894</v>
      </c>
      <c r="P132" s="14">
        <v>219559596</v>
      </c>
      <c r="Q132" s="157">
        <v>1E-4</v>
      </c>
      <c r="R132" s="14">
        <f>16889200+16889200+185781196</f>
        <v>219559596</v>
      </c>
      <c r="S132" s="14">
        <f>5294+5294+27550+5533+1000</f>
        <v>44671</v>
      </c>
      <c r="T132" s="158">
        <f t="shared" si="24"/>
        <v>0</v>
      </c>
      <c r="U132" s="151">
        <f t="shared" si="23"/>
        <v>0</v>
      </c>
      <c r="V132" s="159" t="s">
        <v>316</v>
      </c>
      <c r="W132" s="161"/>
      <c r="X132" s="162"/>
    </row>
    <row r="133" spans="1:939" s="97" customFormat="1" ht="121.5" outlineLevel="1" x14ac:dyDescent="0.25">
      <c r="A133" s="154">
        <v>90</v>
      </c>
      <c r="B133" s="155" t="s">
        <v>317</v>
      </c>
      <c r="C133" s="155" t="s">
        <v>244</v>
      </c>
      <c r="D133" s="145"/>
      <c r="E133" s="146"/>
      <c r="F133" s="146"/>
      <c r="G133" s="146"/>
      <c r="H133" s="146"/>
      <c r="I133" s="146"/>
      <c r="J133" s="146"/>
      <c r="K133" s="147" t="s">
        <v>245</v>
      </c>
      <c r="L133" s="147" t="s">
        <v>312</v>
      </c>
      <c r="M133" s="148" t="s">
        <v>51</v>
      </c>
      <c r="N133" s="156">
        <v>29081500</v>
      </c>
      <c r="O133" s="156">
        <f t="shared" si="22"/>
        <v>71843.424985795107</v>
      </c>
      <c r="P133" s="14">
        <v>29081500</v>
      </c>
      <c r="Q133" s="157">
        <v>1E-4</v>
      </c>
      <c r="R133" s="14"/>
      <c r="S133" s="277">
        <f>1000+4000+3000+1000</f>
        <v>9000</v>
      </c>
      <c r="T133" s="158">
        <f t="shared" si="24"/>
        <v>29081500</v>
      </c>
      <c r="U133" s="151">
        <f t="shared" si="23"/>
        <v>71843.424985795107</v>
      </c>
      <c r="V133" s="159" t="s">
        <v>318</v>
      </c>
      <c r="W133" s="161"/>
      <c r="X133" s="162"/>
    </row>
    <row r="134" spans="1:939" s="97" customFormat="1" ht="123" customHeight="1" outlineLevel="1" x14ac:dyDescent="0.25">
      <c r="A134" s="154">
        <v>91</v>
      </c>
      <c r="B134" s="155" t="s">
        <v>319</v>
      </c>
      <c r="C134" s="155" t="s">
        <v>244</v>
      </c>
      <c r="D134" s="145"/>
      <c r="E134" s="146"/>
      <c r="F134" s="146"/>
      <c r="G134" s="146"/>
      <c r="H134" s="146"/>
      <c r="I134" s="146"/>
      <c r="J134" s="146"/>
      <c r="K134" s="147" t="s">
        <v>245</v>
      </c>
      <c r="L134" s="147" t="s">
        <v>334</v>
      </c>
      <c r="M134" s="148" t="s">
        <v>51</v>
      </c>
      <c r="N134" s="156">
        <v>12060940</v>
      </c>
      <c r="O134" s="156">
        <f t="shared" si="22"/>
        <v>29795.548308999725</v>
      </c>
      <c r="P134" s="13">
        <v>12060940</v>
      </c>
      <c r="Q134" s="157">
        <v>1E-4</v>
      </c>
      <c r="R134" s="14"/>
      <c r="S134" s="14">
        <v>2170</v>
      </c>
      <c r="T134" s="158">
        <f t="shared" si="24"/>
        <v>12060940</v>
      </c>
      <c r="U134" s="151">
        <f t="shared" si="23"/>
        <v>29795.548308999725</v>
      </c>
      <c r="V134" s="159" t="s">
        <v>320</v>
      </c>
      <c r="W134" s="161"/>
      <c r="X134" s="162"/>
    </row>
    <row r="135" spans="1:939" s="114" customFormat="1" ht="32.25" customHeight="1" outlineLevel="1" x14ac:dyDescent="0.25">
      <c r="A135" s="259">
        <v>92</v>
      </c>
      <c r="B135" s="472" t="s">
        <v>233</v>
      </c>
      <c r="C135" s="473"/>
      <c r="D135" s="473"/>
      <c r="E135" s="473"/>
      <c r="F135" s="473"/>
      <c r="G135" s="473"/>
      <c r="H135" s="473"/>
      <c r="I135" s="473"/>
      <c r="J135" s="473"/>
      <c r="K135" s="474"/>
      <c r="L135" s="101" t="s">
        <v>234</v>
      </c>
      <c r="M135" s="101" t="s">
        <v>51</v>
      </c>
      <c r="N135" s="22">
        <v>1000000000</v>
      </c>
      <c r="O135" s="22">
        <f t="shared" si="22"/>
        <v>2470416.7593072951</v>
      </c>
      <c r="P135" s="22">
        <v>1000000000</v>
      </c>
      <c r="Q135" s="112"/>
      <c r="R135" s="22"/>
      <c r="S135" s="22"/>
      <c r="T135" s="104">
        <f t="shared" si="24"/>
        <v>1000000000</v>
      </c>
      <c r="U135" s="22">
        <f t="shared" si="23"/>
        <v>2470416.7593072951</v>
      </c>
      <c r="V135" s="106"/>
      <c r="W135" s="163"/>
      <c r="X135" s="162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  <c r="EG135" s="97"/>
      <c r="EH135" s="97"/>
      <c r="EI135" s="97"/>
      <c r="EJ135" s="97"/>
      <c r="EK135" s="97"/>
      <c r="EL135" s="97"/>
      <c r="EM135" s="97"/>
      <c r="EN135" s="97"/>
      <c r="EO135" s="97"/>
      <c r="EP135" s="97"/>
      <c r="EQ135" s="97"/>
      <c r="ER135" s="97"/>
      <c r="ES135" s="97"/>
      <c r="ET135" s="97"/>
      <c r="EU135" s="97"/>
      <c r="EV135" s="97"/>
      <c r="EW135" s="97"/>
      <c r="EX135" s="97"/>
      <c r="EY135" s="97"/>
      <c r="EZ135" s="97"/>
      <c r="FA135" s="97"/>
      <c r="FB135" s="97"/>
      <c r="FC135" s="97"/>
      <c r="FD135" s="97"/>
      <c r="FE135" s="97"/>
      <c r="FF135" s="97"/>
      <c r="FG135" s="97"/>
      <c r="FH135" s="97"/>
      <c r="FI135" s="97"/>
      <c r="FJ135" s="97"/>
      <c r="FK135" s="97"/>
      <c r="FL135" s="97"/>
      <c r="FM135" s="97"/>
      <c r="FN135" s="97"/>
      <c r="FO135" s="97"/>
      <c r="FP135" s="97"/>
      <c r="FQ135" s="97"/>
      <c r="FR135" s="97"/>
      <c r="FS135" s="97"/>
      <c r="FT135" s="97"/>
      <c r="FU135" s="97"/>
      <c r="FV135" s="97"/>
      <c r="FW135" s="97"/>
      <c r="FX135" s="97"/>
      <c r="FY135" s="97"/>
      <c r="FZ135" s="97"/>
      <c r="GA135" s="97"/>
      <c r="GB135" s="97"/>
      <c r="GC135" s="97"/>
      <c r="GD135" s="97"/>
      <c r="GE135" s="97"/>
      <c r="GF135" s="97"/>
      <c r="GG135" s="97"/>
      <c r="GH135" s="97"/>
      <c r="GI135" s="97"/>
      <c r="GJ135" s="97"/>
      <c r="GK135" s="97"/>
      <c r="GL135" s="97"/>
      <c r="GM135" s="97"/>
      <c r="GN135" s="97"/>
      <c r="GO135" s="97"/>
      <c r="GP135" s="97"/>
      <c r="GQ135" s="97"/>
      <c r="GR135" s="97"/>
      <c r="GS135" s="97"/>
      <c r="GT135" s="97"/>
      <c r="GU135" s="97"/>
      <c r="GV135" s="97"/>
      <c r="GW135" s="97"/>
      <c r="GX135" s="97"/>
      <c r="GY135" s="97"/>
      <c r="GZ135" s="97"/>
      <c r="HA135" s="97"/>
      <c r="HB135" s="97"/>
      <c r="HC135" s="97"/>
      <c r="HD135" s="97"/>
      <c r="HE135" s="97"/>
      <c r="HF135" s="97"/>
      <c r="HG135" s="97"/>
      <c r="HH135" s="97"/>
      <c r="HI135" s="97"/>
      <c r="HJ135" s="97"/>
      <c r="HK135" s="97"/>
      <c r="HL135" s="97"/>
      <c r="HM135" s="97"/>
      <c r="HN135" s="97"/>
      <c r="HO135" s="97"/>
      <c r="HP135" s="97"/>
      <c r="HQ135" s="97"/>
      <c r="HR135" s="97"/>
      <c r="HS135" s="97"/>
      <c r="HT135" s="97"/>
      <c r="HU135" s="97"/>
      <c r="HV135" s="97"/>
      <c r="HW135" s="97"/>
      <c r="HX135" s="97"/>
      <c r="HY135" s="97"/>
      <c r="HZ135" s="97"/>
      <c r="IA135" s="97"/>
      <c r="IB135" s="97"/>
      <c r="IC135" s="97"/>
      <c r="ID135" s="97"/>
      <c r="IE135" s="97"/>
      <c r="IF135" s="97"/>
      <c r="IG135" s="97"/>
      <c r="IH135" s="97"/>
      <c r="II135" s="97"/>
      <c r="IJ135" s="97"/>
      <c r="IK135" s="97"/>
      <c r="IL135" s="97"/>
      <c r="IM135" s="97"/>
      <c r="IN135" s="97"/>
      <c r="IO135" s="97"/>
      <c r="IP135" s="97"/>
      <c r="IQ135" s="97"/>
      <c r="IR135" s="97"/>
      <c r="IS135" s="97"/>
      <c r="IT135" s="97"/>
      <c r="IU135" s="97"/>
      <c r="IV135" s="97"/>
      <c r="IW135" s="97"/>
      <c r="IX135" s="97"/>
      <c r="IY135" s="97"/>
      <c r="IZ135" s="97"/>
      <c r="JA135" s="97"/>
      <c r="JB135" s="97"/>
      <c r="JC135" s="97"/>
      <c r="JD135" s="97"/>
      <c r="JE135" s="97"/>
      <c r="JF135" s="97"/>
      <c r="JG135" s="97"/>
      <c r="JH135" s="97"/>
      <c r="JI135" s="97"/>
      <c r="JJ135" s="97"/>
      <c r="JK135" s="97"/>
      <c r="JL135" s="97"/>
      <c r="JM135" s="97"/>
      <c r="JN135" s="97"/>
      <c r="JO135" s="97"/>
      <c r="JP135" s="97"/>
      <c r="JQ135" s="97"/>
      <c r="JR135" s="97"/>
      <c r="JS135" s="97"/>
      <c r="JT135" s="97"/>
      <c r="JU135" s="97"/>
      <c r="JV135" s="97"/>
      <c r="JW135" s="97"/>
      <c r="JX135" s="97"/>
      <c r="JY135" s="97"/>
      <c r="JZ135" s="97"/>
      <c r="KA135" s="97"/>
      <c r="KB135" s="97"/>
      <c r="KC135" s="97"/>
      <c r="KD135" s="97"/>
      <c r="KE135" s="97"/>
      <c r="KF135" s="97"/>
      <c r="KG135" s="97"/>
      <c r="KH135" s="97"/>
      <c r="KI135" s="97"/>
      <c r="KJ135" s="97"/>
      <c r="KK135" s="97"/>
      <c r="KL135" s="97"/>
      <c r="KM135" s="97"/>
      <c r="KN135" s="97"/>
      <c r="KO135" s="97"/>
      <c r="KP135" s="97"/>
      <c r="KQ135" s="97"/>
      <c r="KR135" s="97"/>
      <c r="KS135" s="97"/>
      <c r="KT135" s="97"/>
      <c r="KU135" s="97"/>
      <c r="KV135" s="97"/>
      <c r="KW135" s="97"/>
      <c r="KX135" s="97"/>
      <c r="KY135" s="97"/>
      <c r="KZ135" s="97"/>
      <c r="LA135" s="97"/>
      <c r="LB135" s="97"/>
      <c r="LC135" s="97"/>
      <c r="LD135" s="97"/>
      <c r="LE135" s="97"/>
      <c r="LF135" s="97"/>
      <c r="LG135" s="97"/>
      <c r="LH135" s="97"/>
      <c r="LI135" s="97"/>
      <c r="LJ135" s="97"/>
      <c r="LK135" s="97"/>
      <c r="LL135" s="97"/>
      <c r="LM135" s="97"/>
      <c r="LN135" s="97"/>
      <c r="LO135" s="97"/>
      <c r="LP135" s="97"/>
      <c r="LQ135" s="97"/>
      <c r="LR135" s="97"/>
      <c r="LS135" s="97"/>
      <c r="LT135" s="97"/>
      <c r="LU135" s="97"/>
      <c r="LV135" s="97"/>
      <c r="LW135" s="97"/>
      <c r="LX135" s="97"/>
      <c r="LY135" s="97"/>
      <c r="LZ135" s="97"/>
      <c r="MA135" s="97"/>
      <c r="MB135" s="97"/>
      <c r="MC135" s="97"/>
      <c r="MD135" s="97"/>
      <c r="ME135" s="97"/>
      <c r="MF135" s="97"/>
      <c r="MG135" s="97"/>
      <c r="MH135" s="97"/>
      <c r="MI135" s="97"/>
      <c r="MJ135" s="97"/>
      <c r="MK135" s="97"/>
      <c r="ML135" s="97"/>
      <c r="MM135" s="97"/>
      <c r="MN135" s="97"/>
      <c r="MO135" s="97"/>
      <c r="MP135" s="97"/>
      <c r="MQ135" s="97"/>
      <c r="MR135" s="97"/>
      <c r="MS135" s="97"/>
      <c r="MT135" s="97"/>
      <c r="MU135" s="97"/>
      <c r="MV135" s="97"/>
      <c r="MW135" s="97"/>
      <c r="MX135" s="97"/>
      <c r="MY135" s="97"/>
      <c r="MZ135" s="97"/>
      <c r="NA135" s="97"/>
      <c r="NB135" s="97"/>
      <c r="NC135" s="97"/>
      <c r="ND135" s="97"/>
      <c r="NE135" s="97"/>
      <c r="NF135" s="97"/>
      <c r="NG135" s="97"/>
      <c r="NH135" s="97"/>
      <c r="NI135" s="97"/>
      <c r="NJ135" s="97"/>
      <c r="NK135" s="97"/>
      <c r="NL135" s="97"/>
      <c r="NM135" s="97"/>
      <c r="NN135" s="97"/>
      <c r="NO135" s="97"/>
      <c r="NP135" s="97"/>
      <c r="NQ135" s="97"/>
      <c r="NR135" s="97"/>
      <c r="NS135" s="97"/>
      <c r="NT135" s="97"/>
      <c r="NU135" s="97"/>
      <c r="NV135" s="97"/>
      <c r="NW135" s="97"/>
      <c r="NX135" s="97"/>
      <c r="NY135" s="97"/>
      <c r="NZ135" s="97"/>
      <c r="OA135" s="97"/>
      <c r="OB135" s="97"/>
      <c r="OC135" s="97"/>
      <c r="OD135" s="97"/>
      <c r="OE135" s="97"/>
      <c r="OF135" s="97"/>
      <c r="OG135" s="97"/>
      <c r="OH135" s="97"/>
      <c r="OI135" s="97"/>
      <c r="OJ135" s="97"/>
      <c r="OK135" s="97"/>
      <c r="OL135" s="97"/>
      <c r="OM135" s="97"/>
      <c r="ON135" s="97"/>
      <c r="OO135" s="97"/>
      <c r="OP135" s="97"/>
      <c r="OQ135" s="97"/>
      <c r="OR135" s="97"/>
      <c r="OS135" s="97"/>
      <c r="OT135" s="97"/>
      <c r="OU135" s="97"/>
      <c r="OV135" s="97"/>
      <c r="OW135" s="97"/>
      <c r="OX135" s="97"/>
      <c r="OY135" s="97"/>
      <c r="OZ135" s="97"/>
      <c r="PA135" s="97"/>
      <c r="PB135" s="97"/>
      <c r="PC135" s="97"/>
      <c r="PD135" s="97"/>
      <c r="PE135" s="97"/>
      <c r="PF135" s="97"/>
      <c r="PG135" s="97"/>
      <c r="PH135" s="97"/>
      <c r="PI135" s="97"/>
      <c r="PJ135" s="97"/>
      <c r="PK135" s="97"/>
      <c r="PL135" s="97"/>
      <c r="PM135" s="97"/>
      <c r="PN135" s="97"/>
      <c r="PO135" s="97"/>
      <c r="PP135" s="97"/>
      <c r="PQ135" s="97"/>
      <c r="PR135" s="97"/>
      <c r="PS135" s="97"/>
      <c r="PT135" s="97"/>
      <c r="PU135" s="97"/>
      <c r="PV135" s="97"/>
      <c r="PW135" s="97"/>
      <c r="PX135" s="97"/>
      <c r="PY135" s="97"/>
      <c r="PZ135" s="97"/>
      <c r="QA135" s="97"/>
      <c r="QB135" s="97"/>
      <c r="QC135" s="97"/>
      <c r="QD135" s="97"/>
      <c r="QE135" s="97"/>
      <c r="QF135" s="97"/>
      <c r="QG135" s="97"/>
      <c r="QH135" s="97"/>
      <c r="QI135" s="97"/>
      <c r="QJ135" s="97"/>
      <c r="QK135" s="97"/>
      <c r="QL135" s="97"/>
      <c r="QM135" s="97"/>
      <c r="QN135" s="97"/>
      <c r="QO135" s="97"/>
      <c r="QP135" s="97"/>
      <c r="QQ135" s="97"/>
      <c r="QR135" s="97"/>
      <c r="QS135" s="97"/>
      <c r="QT135" s="97"/>
      <c r="QU135" s="97"/>
      <c r="QV135" s="97"/>
      <c r="QW135" s="97"/>
      <c r="QX135" s="97"/>
      <c r="QY135" s="97"/>
      <c r="QZ135" s="97"/>
      <c r="RA135" s="97"/>
      <c r="RB135" s="97"/>
      <c r="RC135" s="97"/>
      <c r="RD135" s="97"/>
      <c r="RE135" s="97"/>
      <c r="RF135" s="97"/>
      <c r="RG135" s="97"/>
      <c r="RH135" s="97"/>
      <c r="RI135" s="97"/>
      <c r="RJ135" s="97"/>
      <c r="RK135" s="97"/>
      <c r="RL135" s="97"/>
      <c r="RM135" s="97"/>
      <c r="RN135" s="97"/>
      <c r="RO135" s="97"/>
      <c r="RP135" s="97"/>
      <c r="RQ135" s="97"/>
      <c r="RR135" s="97"/>
      <c r="RS135" s="97"/>
      <c r="RT135" s="97"/>
      <c r="RU135" s="97"/>
      <c r="RV135" s="97"/>
      <c r="RW135" s="97"/>
      <c r="RX135" s="97"/>
      <c r="RY135" s="97"/>
      <c r="RZ135" s="97"/>
      <c r="SA135" s="97"/>
      <c r="SB135" s="97"/>
      <c r="SC135" s="97"/>
      <c r="SD135" s="97"/>
      <c r="SE135" s="97"/>
      <c r="SF135" s="97"/>
      <c r="SG135" s="97"/>
      <c r="SH135" s="97"/>
      <c r="SI135" s="97"/>
      <c r="SJ135" s="97"/>
      <c r="SK135" s="97"/>
      <c r="SL135" s="97"/>
      <c r="SM135" s="97"/>
      <c r="SN135" s="97"/>
      <c r="SO135" s="97"/>
      <c r="SP135" s="97"/>
      <c r="SQ135" s="97"/>
      <c r="SR135" s="97"/>
      <c r="SS135" s="97"/>
      <c r="ST135" s="97"/>
      <c r="SU135" s="97"/>
      <c r="SV135" s="97"/>
      <c r="SW135" s="97"/>
      <c r="SX135" s="97"/>
      <c r="SY135" s="97"/>
      <c r="SZ135" s="97"/>
      <c r="TA135" s="97"/>
      <c r="TB135" s="97"/>
      <c r="TC135" s="97"/>
      <c r="TD135" s="97"/>
      <c r="TE135" s="97"/>
      <c r="TF135" s="97"/>
      <c r="TG135" s="97"/>
      <c r="TH135" s="97"/>
      <c r="TI135" s="97"/>
      <c r="TJ135" s="97"/>
      <c r="TK135" s="97"/>
      <c r="TL135" s="97"/>
      <c r="TM135" s="97"/>
      <c r="TN135" s="97"/>
      <c r="TO135" s="97"/>
      <c r="TP135" s="97"/>
      <c r="TQ135" s="97"/>
      <c r="TR135" s="97"/>
      <c r="TS135" s="97"/>
      <c r="TT135" s="97"/>
      <c r="TU135" s="97"/>
      <c r="TV135" s="97"/>
      <c r="TW135" s="97"/>
      <c r="TX135" s="97"/>
      <c r="TY135" s="97"/>
      <c r="TZ135" s="97"/>
      <c r="UA135" s="97"/>
      <c r="UB135" s="97"/>
      <c r="UC135" s="97"/>
      <c r="UD135" s="97"/>
      <c r="UE135" s="97"/>
      <c r="UF135" s="97"/>
      <c r="UG135" s="97"/>
      <c r="UH135" s="97"/>
      <c r="UI135" s="97"/>
      <c r="UJ135" s="97"/>
      <c r="UK135" s="97"/>
      <c r="UL135" s="97"/>
      <c r="UM135" s="97"/>
      <c r="UN135" s="97"/>
      <c r="UO135" s="97"/>
      <c r="UP135" s="97"/>
      <c r="UQ135" s="97"/>
      <c r="UR135" s="97"/>
      <c r="US135" s="97"/>
      <c r="UT135" s="97"/>
      <c r="UU135" s="97"/>
      <c r="UV135" s="97"/>
      <c r="UW135" s="97"/>
      <c r="UX135" s="97"/>
      <c r="UY135" s="97"/>
      <c r="UZ135" s="97"/>
      <c r="VA135" s="97"/>
      <c r="VB135" s="97"/>
      <c r="VC135" s="97"/>
      <c r="VD135" s="97"/>
      <c r="VE135" s="97"/>
      <c r="VF135" s="97"/>
      <c r="VG135" s="97"/>
      <c r="VH135" s="97"/>
      <c r="VI135" s="97"/>
      <c r="VJ135" s="97"/>
      <c r="VK135" s="97"/>
      <c r="VL135" s="97"/>
      <c r="VM135" s="97"/>
      <c r="VN135" s="97"/>
      <c r="VO135" s="97"/>
      <c r="VP135" s="97"/>
      <c r="VQ135" s="97"/>
      <c r="VR135" s="97"/>
      <c r="VS135" s="97"/>
      <c r="VT135" s="97"/>
      <c r="VU135" s="97"/>
      <c r="VV135" s="97"/>
      <c r="VW135" s="97"/>
      <c r="VX135" s="97"/>
      <c r="VY135" s="97"/>
      <c r="VZ135" s="97"/>
      <c r="WA135" s="97"/>
      <c r="WB135" s="97"/>
      <c r="WC135" s="97"/>
      <c r="WD135" s="97"/>
      <c r="WE135" s="97"/>
      <c r="WF135" s="97"/>
      <c r="WG135" s="97"/>
      <c r="WH135" s="97"/>
      <c r="WI135" s="97"/>
      <c r="WJ135" s="97"/>
      <c r="WK135" s="97"/>
      <c r="WL135" s="97"/>
      <c r="WM135" s="97"/>
      <c r="WN135" s="97"/>
      <c r="WO135" s="97"/>
      <c r="WP135" s="97"/>
      <c r="WQ135" s="97"/>
      <c r="WR135" s="97"/>
      <c r="WS135" s="97"/>
      <c r="WT135" s="97"/>
      <c r="WU135" s="97"/>
      <c r="WV135" s="97"/>
      <c r="WW135" s="97"/>
      <c r="WX135" s="97"/>
      <c r="WY135" s="97"/>
      <c r="WZ135" s="97"/>
      <c r="XA135" s="97"/>
      <c r="XB135" s="97"/>
      <c r="XC135" s="97"/>
      <c r="XD135" s="97"/>
      <c r="XE135" s="97"/>
      <c r="XF135" s="97"/>
      <c r="XG135" s="97"/>
      <c r="XH135" s="97"/>
      <c r="XI135" s="97"/>
      <c r="XJ135" s="97"/>
      <c r="XK135" s="97"/>
      <c r="XL135" s="97"/>
      <c r="XM135" s="97"/>
      <c r="XN135" s="97"/>
      <c r="XO135" s="97"/>
      <c r="XP135" s="97"/>
      <c r="XQ135" s="97"/>
      <c r="XR135" s="97"/>
      <c r="XS135" s="97"/>
      <c r="XT135" s="97"/>
      <c r="XU135" s="97"/>
      <c r="XV135" s="97"/>
      <c r="XW135" s="97"/>
      <c r="XX135" s="97"/>
      <c r="XY135" s="97"/>
      <c r="XZ135" s="97"/>
      <c r="YA135" s="97"/>
      <c r="YB135" s="97"/>
      <c r="YC135" s="97"/>
      <c r="YD135" s="97"/>
      <c r="YE135" s="97"/>
      <c r="YF135" s="97"/>
      <c r="YG135" s="97"/>
      <c r="YH135" s="97"/>
      <c r="YI135" s="97"/>
      <c r="YJ135" s="97"/>
      <c r="YK135" s="97"/>
      <c r="YL135" s="97"/>
      <c r="YM135" s="97"/>
      <c r="YN135" s="97"/>
      <c r="YO135" s="97"/>
      <c r="YP135" s="97"/>
      <c r="YQ135" s="97"/>
      <c r="YR135" s="97"/>
      <c r="YS135" s="97"/>
      <c r="YT135" s="97"/>
      <c r="YU135" s="97"/>
      <c r="YV135" s="97"/>
      <c r="YW135" s="97"/>
      <c r="YX135" s="97"/>
      <c r="YY135" s="97"/>
      <c r="YZ135" s="97"/>
      <c r="ZA135" s="97"/>
      <c r="ZB135" s="97"/>
      <c r="ZC135" s="97"/>
      <c r="ZD135" s="97"/>
      <c r="ZE135" s="97"/>
      <c r="ZF135" s="97"/>
      <c r="ZG135" s="97"/>
      <c r="ZH135" s="97"/>
      <c r="ZI135" s="97"/>
      <c r="ZJ135" s="97"/>
      <c r="ZK135" s="97"/>
      <c r="ZL135" s="97"/>
      <c r="ZM135" s="97"/>
      <c r="ZN135" s="97"/>
      <c r="ZO135" s="97"/>
      <c r="ZP135" s="97"/>
      <c r="ZQ135" s="97"/>
      <c r="ZR135" s="97"/>
      <c r="ZS135" s="97"/>
      <c r="ZT135" s="97"/>
      <c r="ZU135" s="97"/>
      <c r="ZV135" s="97"/>
      <c r="ZW135" s="97"/>
      <c r="ZX135" s="97"/>
      <c r="ZY135" s="97"/>
      <c r="ZZ135" s="97"/>
      <c r="AAA135" s="97"/>
      <c r="AAB135" s="97"/>
      <c r="AAC135" s="97"/>
      <c r="AAD135" s="97"/>
      <c r="AAE135" s="97"/>
      <c r="AAF135" s="97"/>
      <c r="AAG135" s="97"/>
      <c r="AAH135" s="97"/>
      <c r="AAI135" s="97"/>
      <c r="AAJ135" s="97"/>
      <c r="AAK135" s="97"/>
      <c r="AAL135" s="97"/>
      <c r="AAM135" s="97"/>
      <c r="AAN135" s="97"/>
      <c r="AAO135" s="97"/>
      <c r="AAP135" s="97"/>
      <c r="AAQ135" s="97"/>
      <c r="AAR135" s="97"/>
      <c r="AAS135" s="97"/>
      <c r="AAT135" s="97"/>
      <c r="AAU135" s="97"/>
      <c r="AAV135" s="97"/>
      <c r="AAW135" s="97"/>
      <c r="AAX135" s="97"/>
      <c r="AAY135" s="97"/>
      <c r="AAZ135" s="97"/>
      <c r="ABA135" s="97"/>
      <c r="ABB135" s="97"/>
      <c r="ABC135" s="97"/>
      <c r="ABD135" s="97"/>
      <c r="ABE135" s="97"/>
      <c r="ABF135" s="97"/>
      <c r="ABG135" s="97"/>
      <c r="ABH135" s="97"/>
      <c r="ABI135" s="97"/>
      <c r="ABJ135" s="97"/>
      <c r="ABK135" s="97"/>
      <c r="ABL135" s="97"/>
      <c r="ABM135" s="97"/>
      <c r="ABN135" s="97"/>
      <c r="ABO135" s="97"/>
      <c r="ABP135" s="97"/>
      <c r="ABQ135" s="97"/>
      <c r="ABR135" s="97"/>
      <c r="ABS135" s="97"/>
      <c r="ABT135" s="97"/>
      <c r="ABU135" s="97"/>
      <c r="ABV135" s="97"/>
      <c r="ABW135" s="97"/>
      <c r="ABX135" s="97"/>
      <c r="ABY135" s="97"/>
      <c r="ABZ135" s="97"/>
      <c r="ACA135" s="97"/>
      <c r="ACB135" s="97"/>
      <c r="ACC135" s="97"/>
      <c r="ACD135" s="97"/>
      <c r="ACE135" s="97"/>
      <c r="ACF135" s="97"/>
      <c r="ACG135" s="97"/>
      <c r="ACH135" s="97"/>
      <c r="ACI135" s="97"/>
      <c r="ACJ135" s="97"/>
      <c r="ACK135" s="97"/>
      <c r="ACL135" s="97"/>
      <c r="ACM135" s="97"/>
      <c r="ACN135" s="97"/>
      <c r="ACO135" s="97"/>
      <c r="ACP135" s="97"/>
      <c r="ACQ135" s="97"/>
      <c r="ACR135" s="97"/>
      <c r="ACS135" s="97"/>
      <c r="ACT135" s="97"/>
      <c r="ACU135" s="97"/>
      <c r="ACV135" s="97"/>
      <c r="ACW135" s="97"/>
      <c r="ACX135" s="97"/>
      <c r="ACY135" s="97"/>
      <c r="ACZ135" s="97"/>
      <c r="ADA135" s="97"/>
      <c r="ADB135" s="97"/>
      <c r="ADC135" s="97"/>
      <c r="ADD135" s="97"/>
      <c r="ADE135" s="97"/>
      <c r="ADF135" s="97"/>
      <c r="ADG135" s="97"/>
      <c r="ADH135" s="97"/>
      <c r="ADI135" s="97"/>
      <c r="ADJ135" s="97"/>
      <c r="ADK135" s="97"/>
      <c r="ADL135" s="97"/>
      <c r="ADM135" s="97"/>
      <c r="ADN135" s="97"/>
      <c r="ADO135" s="97"/>
      <c r="ADP135" s="97"/>
      <c r="ADQ135" s="97"/>
      <c r="ADR135" s="97"/>
      <c r="ADS135" s="97"/>
      <c r="ADT135" s="97"/>
      <c r="ADU135" s="97"/>
      <c r="ADV135" s="97"/>
      <c r="ADW135" s="97"/>
      <c r="ADX135" s="97"/>
      <c r="ADY135" s="97"/>
      <c r="ADZ135" s="97"/>
      <c r="AEA135" s="97"/>
      <c r="AEB135" s="97"/>
      <c r="AEC135" s="97"/>
      <c r="AED135" s="97"/>
      <c r="AEE135" s="97"/>
      <c r="AEF135" s="97"/>
      <c r="AEG135" s="97"/>
      <c r="AEH135" s="97"/>
      <c r="AEI135" s="97"/>
      <c r="AEJ135" s="97"/>
      <c r="AEK135" s="97"/>
      <c r="AEL135" s="97"/>
      <c r="AEM135" s="97"/>
      <c r="AEN135" s="97"/>
      <c r="AEO135" s="97"/>
      <c r="AEP135" s="97"/>
      <c r="AEQ135" s="97"/>
      <c r="AER135" s="97"/>
      <c r="AES135" s="97"/>
      <c r="AET135" s="97"/>
      <c r="AEU135" s="97"/>
      <c r="AEV135" s="97"/>
      <c r="AEW135" s="97"/>
      <c r="AEX135" s="97"/>
      <c r="AEY135" s="97"/>
      <c r="AEZ135" s="97"/>
      <c r="AFA135" s="97"/>
      <c r="AFB135" s="97"/>
      <c r="AFC135" s="97"/>
      <c r="AFD135" s="97"/>
      <c r="AFE135" s="97"/>
      <c r="AFF135" s="97"/>
      <c r="AFG135" s="97"/>
      <c r="AFH135" s="97"/>
      <c r="AFI135" s="97"/>
      <c r="AFJ135" s="97"/>
      <c r="AFK135" s="97"/>
      <c r="AFL135" s="97"/>
      <c r="AFM135" s="97"/>
      <c r="AFN135" s="97"/>
      <c r="AFO135" s="97"/>
      <c r="AFP135" s="97"/>
      <c r="AFQ135" s="97"/>
      <c r="AFR135" s="97"/>
      <c r="AFS135" s="97"/>
      <c r="AFT135" s="97"/>
      <c r="AFU135" s="97"/>
      <c r="AFV135" s="97"/>
      <c r="AFW135" s="97"/>
      <c r="AFX135" s="97"/>
      <c r="AFY135" s="97"/>
      <c r="AFZ135" s="97"/>
      <c r="AGA135" s="97"/>
      <c r="AGB135" s="97"/>
      <c r="AGC135" s="97"/>
      <c r="AGD135" s="97"/>
      <c r="AGE135" s="97"/>
      <c r="AGF135" s="97"/>
      <c r="AGG135" s="97"/>
      <c r="AGH135" s="97"/>
      <c r="AGI135" s="97"/>
      <c r="AGJ135" s="97"/>
      <c r="AGK135" s="97"/>
      <c r="AGL135" s="97"/>
      <c r="AGM135" s="97"/>
      <c r="AGN135" s="97"/>
      <c r="AGO135" s="97"/>
      <c r="AGP135" s="97"/>
      <c r="AGQ135" s="97"/>
      <c r="AGR135" s="97"/>
      <c r="AGS135" s="97"/>
      <c r="AGT135" s="97"/>
      <c r="AGU135" s="97"/>
      <c r="AGV135" s="97"/>
      <c r="AGW135" s="97"/>
      <c r="AGX135" s="97"/>
      <c r="AGY135" s="97"/>
      <c r="AGZ135" s="97"/>
      <c r="AHA135" s="97"/>
      <c r="AHB135" s="97"/>
      <c r="AHC135" s="97"/>
      <c r="AHD135" s="97"/>
      <c r="AHE135" s="97"/>
      <c r="AHF135" s="97"/>
      <c r="AHG135" s="97"/>
      <c r="AHH135" s="97"/>
      <c r="AHI135" s="97"/>
      <c r="AHJ135" s="97"/>
      <c r="AHK135" s="97"/>
      <c r="AHL135" s="97"/>
      <c r="AHM135" s="97"/>
      <c r="AHN135" s="97"/>
      <c r="AHO135" s="97"/>
      <c r="AHP135" s="97"/>
      <c r="AHQ135" s="97"/>
      <c r="AHR135" s="97"/>
      <c r="AHS135" s="97"/>
      <c r="AHT135" s="97"/>
      <c r="AHU135" s="97"/>
      <c r="AHV135" s="97"/>
      <c r="AHW135" s="97"/>
      <c r="AHX135" s="97"/>
      <c r="AHY135" s="97"/>
      <c r="AHZ135" s="97"/>
      <c r="AIA135" s="97"/>
      <c r="AIB135" s="97"/>
      <c r="AIC135" s="97"/>
      <c r="AID135" s="97"/>
      <c r="AIE135" s="97"/>
      <c r="AIF135" s="97"/>
      <c r="AIG135" s="97"/>
      <c r="AIH135" s="97"/>
      <c r="AII135" s="97"/>
      <c r="AIJ135" s="97"/>
      <c r="AIK135" s="97"/>
      <c r="AIL135" s="97"/>
      <c r="AIM135" s="97"/>
      <c r="AIN135" s="97"/>
      <c r="AIO135" s="97"/>
      <c r="AIP135" s="97"/>
      <c r="AIQ135" s="97"/>
      <c r="AIR135" s="97"/>
      <c r="AIS135" s="97"/>
      <c r="AIT135" s="97"/>
      <c r="AIU135" s="97"/>
      <c r="AIV135" s="97"/>
      <c r="AIW135" s="97"/>
      <c r="AIX135" s="97"/>
      <c r="AIY135" s="97"/>
      <c r="AIZ135" s="97"/>
      <c r="AJA135" s="97"/>
      <c r="AJB135" s="97"/>
      <c r="AJC135" s="97"/>
    </row>
    <row r="136" spans="1:939" s="114" customFormat="1" ht="32.25" customHeight="1" outlineLevel="1" x14ac:dyDescent="0.25">
      <c r="A136" s="259">
        <v>93</v>
      </c>
      <c r="B136" s="475"/>
      <c r="C136" s="476"/>
      <c r="D136" s="476"/>
      <c r="E136" s="476"/>
      <c r="F136" s="476"/>
      <c r="G136" s="476"/>
      <c r="H136" s="476"/>
      <c r="I136" s="476"/>
      <c r="J136" s="476"/>
      <c r="K136" s="477"/>
      <c r="L136" s="101" t="s">
        <v>359</v>
      </c>
      <c r="M136" s="101" t="s">
        <v>51</v>
      </c>
      <c r="N136" s="124">
        <v>750000000</v>
      </c>
      <c r="O136" s="22">
        <f t="shared" si="22"/>
        <v>1852812.5694804713</v>
      </c>
      <c r="P136" s="22">
        <v>750000000</v>
      </c>
      <c r="Q136" s="164">
        <v>0.05</v>
      </c>
      <c r="R136" s="22">
        <v>34125868.899999999</v>
      </c>
      <c r="S136" s="22">
        <f>18833145+17847821</f>
        <v>36680966</v>
      </c>
      <c r="T136" s="104">
        <f t="shared" si="24"/>
        <v>715874131.10000002</v>
      </c>
      <c r="U136" s="22">
        <f t="shared" si="23"/>
        <v>1768507.4510239877</v>
      </c>
      <c r="V136" s="306"/>
      <c r="W136" s="163"/>
      <c r="X136" s="162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  <c r="CF136" s="97"/>
      <c r="CG136" s="97"/>
      <c r="CH136" s="97"/>
      <c r="CI136" s="97"/>
      <c r="CJ136" s="97"/>
      <c r="CK136" s="97"/>
      <c r="CL136" s="97"/>
      <c r="CM136" s="97"/>
      <c r="CN136" s="97"/>
      <c r="CO136" s="97"/>
      <c r="CP136" s="97"/>
      <c r="CQ136" s="97"/>
      <c r="CR136" s="97"/>
      <c r="CS136" s="97"/>
      <c r="CT136" s="97"/>
      <c r="CU136" s="97"/>
      <c r="CV136" s="97"/>
      <c r="CW136" s="97"/>
      <c r="CX136" s="97"/>
      <c r="CY136" s="97"/>
      <c r="CZ136" s="97"/>
      <c r="DA136" s="97"/>
      <c r="DB136" s="97"/>
      <c r="DC136" s="97"/>
      <c r="DD136" s="97"/>
      <c r="DE136" s="97"/>
      <c r="DF136" s="97"/>
      <c r="DG136" s="97"/>
      <c r="DH136" s="97"/>
      <c r="DI136" s="97"/>
      <c r="DJ136" s="97"/>
      <c r="DK136" s="97"/>
      <c r="DL136" s="97"/>
      <c r="DM136" s="97"/>
      <c r="DN136" s="97"/>
      <c r="DO136" s="97"/>
      <c r="DP136" s="97"/>
      <c r="DQ136" s="97"/>
      <c r="DR136" s="97"/>
      <c r="DS136" s="97"/>
      <c r="DT136" s="97"/>
      <c r="DU136" s="97"/>
      <c r="DV136" s="97"/>
      <c r="DW136" s="97"/>
      <c r="DX136" s="97"/>
      <c r="DY136" s="97"/>
      <c r="DZ136" s="97"/>
      <c r="EA136" s="97"/>
      <c r="EB136" s="97"/>
      <c r="EC136" s="97"/>
      <c r="ED136" s="97"/>
      <c r="EE136" s="97"/>
      <c r="EF136" s="97"/>
      <c r="EG136" s="97"/>
      <c r="EH136" s="97"/>
      <c r="EI136" s="97"/>
      <c r="EJ136" s="97"/>
      <c r="EK136" s="97"/>
      <c r="EL136" s="97"/>
      <c r="EM136" s="97"/>
      <c r="EN136" s="97"/>
      <c r="EO136" s="97"/>
      <c r="EP136" s="97"/>
      <c r="EQ136" s="97"/>
      <c r="ER136" s="97"/>
      <c r="ES136" s="97"/>
      <c r="ET136" s="97"/>
      <c r="EU136" s="97"/>
      <c r="EV136" s="97"/>
      <c r="EW136" s="97"/>
      <c r="EX136" s="97"/>
      <c r="EY136" s="97"/>
      <c r="EZ136" s="97"/>
      <c r="FA136" s="97"/>
      <c r="FB136" s="97"/>
      <c r="FC136" s="97"/>
      <c r="FD136" s="97"/>
      <c r="FE136" s="97"/>
      <c r="FF136" s="97"/>
      <c r="FG136" s="97"/>
      <c r="FH136" s="97"/>
      <c r="FI136" s="97"/>
      <c r="FJ136" s="97"/>
      <c r="FK136" s="97"/>
      <c r="FL136" s="97"/>
      <c r="FM136" s="97"/>
      <c r="FN136" s="97"/>
      <c r="FO136" s="97"/>
      <c r="FP136" s="97"/>
      <c r="FQ136" s="97"/>
      <c r="FR136" s="97"/>
      <c r="FS136" s="97"/>
      <c r="FT136" s="97"/>
      <c r="FU136" s="97"/>
      <c r="FV136" s="97"/>
      <c r="FW136" s="97"/>
      <c r="FX136" s="97"/>
      <c r="FY136" s="97"/>
      <c r="FZ136" s="97"/>
      <c r="GA136" s="97"/>
      <c r="GB136" s="97"/>
      <c r="GC136" s="97"/>
      <c r="GD136" s="97"/>
      <c r="GE136" s="97"/>
      <c r="GF136" s="97"/>
      <c r="GG136" s="97"/>
      <c r="GH136" s="97"/>
      <c r="GI136" s="97"/>
      <c r="GJ136" s="97"/>
      <c r="GK136" s="97"/>
      <c r="GL136" s="97"/>
      <c r="GM136" s="97"/>
      <c r="GN136" s="97"/>
      <c r="GO136" s="97"/>
      <c r="GP136" s="97"/>
      <c r="GQ136" s="97"/>
      <c r="GR136" s="97"/>
      <c r="GS136" s="97"/>
      <c r="GT136" s="97"/>
      <c r="GU136" s="97"/>
      <c r="GV136" s="97"/>
      <c r="GW136" s="97"/>
      <c r="GX136" s="97"/>
      <c r="GY136" s="97"/>
      <c r="GZ136" s="97"/>
      <c r="HA136" s="97"/>
      <c r="HB136" s="97"/>
      <c r="HC136" s="97"/>
      <c r="HD136" s="97"/>
      <c r="HE136" s="97"/>
      <c r="HF136" s="97"/>
      <c r="HG136" s="97"/>
      <c r="HH136" s="97"/>
      <c r="HI136" s="97"/>
      <c r="HJ136" s="97"/>
      <c r="HK136" s="97"/>
      <c r="HL136" s="97"/>
      <c r="HM136" s="97"/>
      <c r="HN136" s="97"/>
      <c r="HO136" s="97"/>
      <c r="HP136" s="97"/>
      <c r="HQ136" s="97"/>
      <c r="HR136" s="97"/>
      <c r="HS136" s="97"/>
      <c r="HT136" s="97"/>
      <c r="HU136" s="97"/>
      <c r="HV136" s="97"/>
      <c r="HW136" s="97"/>
      <c r="HX136" s="97"/>
      <c r="HY136" s="97"/>
      <c r="HZ136" s="97"/>
      <c r="IA136" s="97"/>
      <c r="IB136" s="97"/>
      <c r="IC136" s="97"/>
      <c r="ID136" s="97"/>
      <c r="IE136" s="97"/>
      <c r="IF136" s="97"/>
      <c r="IG136" s="97"/>
      <c r="IH136" s="97"/>
      <c r="II136" s="97"/>
      <c r="IJ136" s="97"/>
      <c r="IK136" s="97"/>
      <c r="IL136" s="97"/>
      <c r="IM136" s="97"/>
      <c r="IN136" s="97"/>
      <c r="IO136" s="97"/>
      <c r="IP136" s="97"/>
      <c r="IQ136" s="97"/>
      <c r="IR136" s="97"/>
      <c r="IS136" s="97"/>
      <c r="IT136" s="97"/>
      <c r="IU136" s="97"/>
      <c r="IV136" s="97"/>
      <c r="IW136" s="97"/>
      <c r="IX136" s="97"/>
      <c r="IY136" s="97"/>
      <c r="IZ136" s="97"/>
      <c r="JA136" s="97"/>
      <c r="JB136" s="97"/>
      <c r="JC136" s="97"/>
      <c r="JD136" s="97"/>
      <c r="JE136" s="97"/>
      <c r="JF136" s="97"/>
      <c r="JG136" s="97"/>
      <c r="JH136" s="97"/>
      <c r="JI136" s="97"/>
      <c r="JJ136" s="97"/>
      <c r="JK136" s="97"/>
      <c r="JL136" s="97"/>
      <c r="JM136" s="97"/>
      <c r="JN136" s="97"/>
      <c r="JO136" s="97"/>
      <c r="JP136" s="97"/>
      <c r="JQ136" s="97"/>
      <c r="JR136" s="97"/>
      <c r="JS136" s="97"/>
      <c r="JT136" s="97"/>
      <c r="JU136" s="97"/>
      <c r="JV136" s="97"/>
      <c r="JW136" s="97"/>
      <c r="JX136" s="97"/>
      <c r="JY136" s="97"/>
      <c r="JZ136" s="97"/>
      <c r="KA136" s="97"/>
      <c r="KB136" s="97"/>
      <c r="KC136" s="97"/>
      <c r="KD136" s="97"/>
      <c r="KE136" s="97"/>
      <c r="KF136" s="97"/>
      <c r="KG136" s="97"/>
      <c r="KH136" s="97"/>
      <c r="KI136" s="97"/>
      <c r="KJ136" s="97"/>
      <c r="KK136" s="97"/>
      <c r="KL136" s="97"/>
      <c r="KM136" s="97"/>
      <c r="KN136" s="97"/>
      <c r="KO136" s="97"/>
      <c r="KP136" s="97"/>
      <c r="KQ136" s="97"/>
      <c r="KR136" s="97"/>
      <c r="KS136" s="97"/>
      <c r="KT136" s="97"/>
      <c r="KU136" s="97"/>
      <c r="KV136" s="97"/>
      <c r="KW136" s="97"/>
      <c r="KX136" s="97"/>
      <c r="KY136" s="97"/>
      <c r="KZ136" s="97"/>
      <c r="LA136" s="97"/>
      <c r="LB136" s="97"/>
      <c r="LC136" s="97"/>
      <c r="LD136" s="97"/>
      <c r="LE136" s="97"/>
      <c r="LF136" s="97"/>
      <c r="LG136" s="97"/>
      <c r="LH136" s="97"/>
      <c r="LI136" s="97"/>
      <c r="LJ136" s="97"/>
      <c r="LK136" s="97"/>
      <c r="LL136" s="97"/>
      <c r="LM136" s="97"/>
      <c r="LN136" s="97"/>
      <c r="LO136" s="97"/>
      <c r="LP136" s="97"/>
      <c r="LQ136" s="97"/>
      <c r="LR136" s="97"/>
      <c r="LS136" s="97"/>
      <c r="LT136" s="97"/>
      <c r="LU136" s="97"/>
      <c r="LV136" s="97"/>
      <c r="LW136" s="97"/>
      <c r="LX136" s="97"/>
      <c r="LY136" s="97"/>
      <c r="LZ136" s="97"/>
      <c r="MA136" s="97"/>
      <c r="MB136" s="97"/>
      <c r="MC136" s="97"/>
      <c r="MD136" s="97"/>
      <c r="ME136" s="97"/>
      <c r="MF136" s="97"/>
      <c r="MG136" s="97"/>
      <c r="MH136" s="97"/>
      <c r="MI136" s="97"/>
      <c r="MJ136" s="97"/>
      <c r="MK136" s="97"/>
      <c r="ML136" s="97"/>
      <c r="MM136" s="97"/>
      <c r="MN136" s="97"/>
      <c r="MO136" s="97"/>
      <c r="MP136" s="97"/>
      <c r="MQ136" s="97"/>
      <c r="MR136" s="97"/>
      <c r="MS136" s="97"/>
      <c r="MT136" s="97"/>
      <c r="MU136" s="97"/>
      <c r="MV136" s="97"/>
      <c r="MW136" s="97"/>
      <c r="MX136" s="97"/>
      <c r="MY136" s="97"/>
      <c r="MZ136" s="97"/>
      <c r="NA136" s="97"/>
      <c r="NB136" s="97"/>
      <c r="NC136" s="97"/>
      <c r="ND136" s="97"/>
      <c r="NE136" s="97"/>
      <c r="NF136" s="97"/>
      <c r="NG136" s="97"/>
      <c r="NH136" s="97"/>
      <c r="NI136" s="97"/>
      <c r="NJ136" s="97"/>
      <c r="NK136" s="97"/>
      <c r="NL136" s="97"/>
      <c r="NM136" s="97"/>
      <c r="NN136" s="97"/>
      <c r="NO136" s="97"/>
      <c r="NP136" s="97"/>
      <c r="NQ136" s="97"/>
      <c r="NR136" s="97"/>
      <c r="NS136" s="97"/>
      <c r="NT136" s="97"/>
      <c r="NU136" s="97"/>
      <c r="NV136" s="97"/>
      <c r="NW136" s="97"/>
      <c r="NX136" s="97"/>
      <c r="NY136" s="97"/>
      <c r="NZ136" s="97"/>
      <c r="OA136" s="97"/>
      <c r="OB136" s="97"/>
      <c r="OC136" s="97"/>
      <c r="OD136" s="97"/>
      <c r="OE136" s="97"/>
      <c r="OF136" s="97"/>
      <c r="OG136" s="97"/>
      <c r="OH136" s="97"/>
      <c r="OI136" s="97"/>
      <c r="OJ136" s="97"/>
      <c r="OK136" s="97"/>
      <c r="OL136" s="97"/>
      <c r="OM136" s="97"/>
      <c r="ON136" s="97"/>
      <c r="OO136" s="97"/>
      <c r="OP136" s="97"/>
      <c r="OQ136" s="97"/>
      <c r="OR136" s="97"/>
      <c r="OS136" s="97"/>
      <c r="OT136" s="97"/>
      <c r="OU136" s="97"/>
      <c r="OV136" s="97"/>
      <c r="OW136" s="97"/>
      <c r="OX136" s="97"/>
      <c r="OY136" s="97"/>
      <c r="OZ136" s="97"/>
      <c r="PA136" s="97"/>
      <c r="PB136" s="97"/>
      <c r="PC136" s="97"/>
      <c r="PD136" s="97"/>
      <c r="PE136" s="97"/>
      <c r="PF136" s="97"/>
      <c r="PG136" s="97"/>
      <c r="PH136" s="97"/>
      <c r="PI136" s="97"/>
      <c r="PJ136" s="97"/>
      <c r="PK136" s="97"/>
      <c r="PL136" s="97"/>
      <c r="PM136" s="97"/>
      <c r="PN136" s="97"/>
      <c r="PO136" s="97"/>
      <c r="PP136" s="97"/>
      <c r="PQ136" s="97"/>
      <c r="PR136" s="97"/>
      <c r="PS136" s="97"/>
      <c r="PT136" s="97"/>
      <c r="PU136" s="97"/>
      <c r="PV136" s="97"/>
      <c r="PW136" s="97"/>
      <c r="PX136" s="97"/>
      <c r="PY136" s="97"/>
      <c r="PZ136" s="97"/>
      <c r="QA136" s="97"/>
      <c r="QB136" s="97"/>
      <c r="QC136" s="97"/>
      <c r="QD136" s="97"/>
      <c r="QE136" s="97"/>
      <c r="QF136" s="97"/>
      <c r="QG136" s="97"/>
      <c r="QH136" s="97"/>
      <c r="QI136" s="97"/>
      <c r="QJ136" s="97"/>
      <c r="QK136" s="97"/>
      <c r="QL136" s="97"/>
      <c r="QM136" s="97"/>
      <c r="QN136" s="97"/>
      <c r="QO136" s="97"/>
      <c r="QP136" s="97"/>
      <c r="QQ136" s="97"/>
      <c r="QR136" s="97"/>
      <c r="QS136" s="97"/>
      <c r="QT136" s="97"/>
      <c r="QU136" s="97"/>
      <c r="QV136" s="97"/>
      <c r="QW136" s="97"/>
      <c r="QX136" s="97"/>
      <c r="QY136" s="97"/>
      <c r="QZ136" s="97"/>
      <c r="RA136" s="97"/>
      <c r="RB136" s="97"/>
      <c r="RC136" s="97"/>
      <c r="RD136" s="97"/>
      <c r="RE136" s="97"/>
      <c r="RF136" s="97"/>
      <c r="RG136" s="97"/>
      <c r="RH136" s="97"/>
      <c r="RI136" s="97"/>
      <c r="RJ136" s="97"/>
      <c r="RK136" s="97"/>
      <c r="RL136" s="97"/>
      <c r="RM136" s="97"/>
      <c r="RN136" s="97"/>
      <c r="RO136" s="97"/>
      <c r="RP136" s="97"/>
      <c r="RQ136" s="97"/>
      <c r="RR136" s="97"/>
      <c r="RS136" s="97"/>
      <c r="RT136" s="97"/>
      <c r="RU136" s="97"/>
      <c r="RV136" s="97"/>
      <c r="RW136" s="97"/>
      <c r="RX136" s="97"/>
      <c r="RY136" s="97"/>
      <c r="RZ136" s="97"/>
      <c r="SA136" s="97"/>
      <c r="SB136" s="97"/>
      <c r="SC136" s="97"/>
      <c r="SD136" s="97"/>
      <c r="SE136" s="97"/>
      <c r="SF136" s="97"/>
      <c r="SG136" s="97"/>
      <c r="SH136" s="97"/>
      <c r="SI136" s="97"/>
      <c r="SJ136" s="97"/>
      <c r="SK136" s="97"/>
      <c r="SL136" s="97"/>
      <c r="SM136" s="97"/>
      <c r="SN136" s="97"/>
      <c r="SO136" s="97"/>
      <c r="SP136" s="97"/>
      <c r="SQ136" s="97"/>
      <c r="SR136" s="97"/>
      <c r="SS136" s="97"/>
      <c r="ST136" s="97"/>
      <c r="SU136" s="97"/>
      <c r="SV136" s="97"/>
      <c r="SW136" s="97"/>
      <c r="SX136" s="97"/>
      <c r="SY136" s="97"/>
      <c r="SZ136" s="97"/>
      <c r="TA136" s="97"/>
      <c r="TB136" s="97"/>
      <c r="TC136" s="97"/>
      <c r="TD136" s="97"/>
      <c r="TE136" s="97"/>
      <c r="TF136" s="97"/>
      <c r="TG136" s="97"/>
      <c r="TH136" s="97"/>
      <c r="TI136" s="97"/>
      <c r="TJ136" s="97"/>
      <c r="TK136" s="97"/>
      <c r="TL136" s="97"/>
      <c r="TM136" s="97"/>
      <c r="TN136" s="97"/>
      <c r="TO136" s="97"/>
      <c r="TP136" s="97"/>
      <c r="TQ136" s="97"/>
      <c r="TR136" s="97"/>
      <c r="TS136" s="97"/>
      <c r="TT136" s="97"/>
      <c r="TU136" s="97"/>
      <c r="TV136" s="97"/>
      <c r="TW136" s="97"/>
      <c r="TX136" s="97"/>
      <c r="TY136" s="97"/>
      <c r="TZ136" s="97"/>
      <c r="UA136" s="97"/>
      <c r="UB136" s="97"/>
      <c r="UC136" s="97"/>
      <c r="UD136" s="97"/>
      <c r="UE136" s="97"/>
      <c r="UF136" s="97"/>
      <c r="UG136" s="97"/>
      <c r="UH136" s="97"/>
      <c r="UI136" s="97"/>
      <c r="UJ136" s="97"/>
      <c r="UK136" s="97"/>
      <c r="UL136" s="97"/>
      <c r="UM136" s="97"/>
      <c r="UN136" s="97"/>
      <c r="UO136" s="97"/>
      <c r="UP136" s="97"/>
      <c r="UQ136" s="97"/>
      <c r="UR136" s="97"/>
      <c r="US136" s="97"/>
      <c r="UT136" s="97"/>
      <c r="UU136" s="97"/>
      <c r="UV136" s="97"/>
      <c r="UW136" s="97"/>
      <c r="UX136" s="97"/>
      <c r="UY136" s="97"/>
      <c r="UZ136" s="97"/>
      <c r="VA136" s="97"/>
      <c r="VB136" s="97"/>
      <c r="VC136" s="97"/>
      <c r="VD136" s="97"/>
      <c r="VE136" s="97"/>
      <c r="VF136" s="97"/>
      <c r="VG136" s="97"/>
      <c r="VH136" s="97"/>
      <c r="VI136" s="97"/>
      <c r="VJ136" s="97"/>
      <c r="VK136" s="97"/>
      <c r="VL136" s="97"/>
      <c r="VM136" s="97"/>
      <c r="VN136" s="97"/>
      <c r="VO136" s="97"/>
      <c r="VP136" s="97"/>
      <c r="VQ136" s="97"/>
      <c r="VR136" s="97"/>
      <c r="VS136" s="97"/>
      <c r="VT136" s="97"/>
      <c r="VU136" s="97"/>
      <c r="VV136" s="97"/>
      <c r="VW136" s="97"/>
      <c r="VX136" s="97"/>
      <c r="VY136" s="97"/>
      <c r="VZ136" s="97"/>
      <c r="WA136" s="97"/>
      <c r="WB136" s="97"/>
      <c r="WC136" s="97"/>
      <c r="WD136" s="97"/>
      <c r="WE136" s="97"/>
      <c r="WF136" s="97"/>
      <c r="WG136" s="97"/>
      <c r="WH136" s="97"/>
      <c r="WI136" s="97"/>
      <c r="WJ136" s="97"/>
      <c r="WK136" s="97"/>
      <c r="WL136" s="97"/>
      <c r="WM136" s="97"/>
      <c r="WN136" s="97"/>
      <c r="WO136" s="97"/>
      <c r="WP136" s="97"/>
      <c r="WQ136" s="97"/>
      <c r="WR136" s="97"/>
      <c r="WS136" s="97"/>
      <c r="WT136" s="97"/>
      <c r="WU136" s="97"/>
      <c r="WV136" s="97"/>
      <c r="WW136" s="97"/>
      <c r="WX136" s="97"/>
      <c r="WY136" s="97"/>
      <c r="WZ136" s="97"/>
      <c r="XA136" s="97"/>
      <c r="XB136" s="97"/>
      <c r="XC136" s="97"/>
      <c r="XD136" s="97"/>
      <c r="XE136" s="97"/>
      <c r="XF136" s="97"/>
      <c r="XG136" s="97"/>
      <c r="XH136" s="97"/>
      <c r="XI136" s="97"/>
      <c r="XJ136" s="97"/>
      <c r="XK136" s="97"/>
      <c r="XL136" s="97"/>
      <c r="XM136" s="97"/>
      <c r="XN136" s="97"/>
      <c r="XO136" s="97"/>
      <c r="XP136" s="97"/>
      <c r="XQ136" s="97"/>
      <c r="XR136" s="97"/>
      <c r="XS136" s="97"/>
      <c r="XT136" s="97"/>
      <c r="XU136" s="97"/>
      <c r="XV136" s="97"/>
      <c r="XW136" s="97"/>
      <c r="XX136" s="97"/>
      <c r="XY136" s="97"/>
      <c r="XZ136" s="97"/>
      <c r="YA136" s="97"/>
      <c r="YB136" s="97"/>
      <c r="YC136" s="97"/>
      <c r="YD136" s="97"/>
      <c r="YE136" s="97"/>
      <c r="YF136" s="97"/>
      <c r="YG136" s="97"/>
      <c r="YH136" s="97"/>
      <c r="YI136" s="97"/>
      <c r="YJ136" s="97"/>
      <c r="YK136" s="97"/>
      <c r="YL136" s="97"/>
      <c r="YM136" s="97"/>
      <c r="YN136" s="97"/>
      <c r="YO136" s="97"/>
      <c r="YP136" s="97"/>
      <c r="YQ136" s="97"/>
      <c r="YR136" s="97"/>
      <c r="YS136" s="97"/>
      <c r="YT136" s="97"/>
      <c r="YU136" s="97"/>
      <c r="YV136" s="97"/>
      <c r="YW136" s="97"/>
      <c r="YX136" s="97"/>
      <c r="YY136" s="97"/>
      <c r="YZ136" s="97"/>
      <c r="ZA136" s="97"/>
      <c r="ZB136" s="97"/>
      <c r="ZC136" s="97"/>
      <c r="ZD136" s="97"/>
      <c r="ZE136" s="97"/>
      <c r="ZF136" s="97"/>
      <c r="ZG136" s="97"/>
      <c r="ZH136" s="97"/>
      <c r="ZI136" s="97"/>
      <c r="ZJ136" s="97"/>
      <c r="ZK136" s="97"/>
      <c r="ZL136" s="97"/>
      <c r="ZM136" s="97"/>
      <c r="ZN136" s="97"/>
      <c r="ZO136" s="97"/>
      <c r="ZP136" s="97"/>
      <c r="ZQ136" s="97"/>
      <c r="ZR136" s="97"/>
      <c r="ZS136" s="97"/>
      <c r="ZT136" s="97"/>
      <c r="ZU136" s="97"/>
      <c r="ZV136" s="97"/>
      <c r="ZW136" s="97"/>
      <c r="ZX136" s="97"/>
      <c r="ZY136" s="97"/>
      <c r="ZZ136" s="97"/>
      <c r="AAA136" s="97"/>
      <c r="AAB136" s="97"/>
      <c r="AAC136" s="97"/>
      <c r="AAD136" s="97"/>
      <c r="AAE136" s="97"/>
      <c r="AAF136" s="97"/>
      <c r="AAG136" s="97"/>
      <c r="AAH136" s="97"/>
      <c r="AAI136" s="97"/>
      <c r="AAJ136" s="97"/>
      <c r="AAK136" s="97"/>
      <c r="AAL136" s="97"/>
      <c r="AAM136" s="97"/>
      <c r="AAN136" s="97"/>
      <c r="AAO136" s="97"/>
      <c r="AAP136" s="97"/>
      <c r="AAQ136" s="97"/>
      <c r="AAR136" s="97"/>
      <c r="AAS136" s="97"/>
      <c r="AAT136" s="97"/>
      <c r="AAU136" s="97"/>
      <c r="AAV136" s="97"/>
      <c r="AAW136" s="97"/>
      <c r="AAX136" s="97"/>
      <c r="AAY136" s="97"/>
      <c r="AAZ136" s="97"/>
      <c r="ABA136" s="97"/>
      <c r="ABB136" s="97"/>
      <c r="ABC136" s="97"/>
      <c r="ABD136" s="97"/>
      <c r="ABE136" s="97"/>
      <c r="ABF136" s="97"/>
      <c r="ABG136" s="97"/>
      <c r="ABH136" s="97"/>
      <c r="ABI136" s="97"/>
      <c r="ABJ136" s="97"/>
      <c r="ABK136" s="97"/>
      <c r="ABL136" s="97"/>
      <c r="ABM136" s="97"/>
      <c r="ABN136" s="97"/>
      <c r="ABO136" s="97"/>
      <c r="ABP136" s="97"/>
      <c r="ABQ136" s="97"/>
      <c r="ABR136" s="97"/>
      <c r="ABS136" s="97"/>
      <c r="ABT136" s="97"/>
      <c r="ABU136" s="97"/>
      <c r="ABV136" s="97"/>
      <c r="ABW136" s="97"/>
      <c r="ABX136" s="97"/>
      <c r="ABY136" s="97"/>
      <c r="ABZ136" s="97"/>
      <c r="ACA136" s="97"/>
      <c r="ACB136" s="97"/>
      <c r="ACC136" s="97"/>
      <c r="ACD136" s="97"/>
      <c r="ACE136" s="97"/>
      <c r="ACF136" s="97"/>
      <c r="ACG136" s="97"/>
      <c r="ACH136" s="97"/>
      <c r="ACI136" s="97"/>
      <c r="ACJ136" s="97"/>
      <c r="ACK136" s="97"/>
      <c r="ACL136" s="97"/>
      <c r="ACM136" s="97"/>
      <c r="ACN136" s="97"/>
      <c r="ACO136" s="97"/>
      <c r="ACP136" s="97"/>
      <c r="ACQ136" s="97"/>
      <c r="ACR136" s="97"/>
      <c r="ACS136" s="97"/>
      <c r="ACT136" s="97"/>
      <c r="ACU136" s="97"/>
      <c r="ACV136" s="97"/>
      <c r="ACW136" s="97"/>
      <c r="ACX136" s="97"/>
      <c r="ACY136" s="97"/>
      <c r="ACZ136" s="97"/>
      <c r="ADA136" s="97"/>
      <c r="ADB136" s="97"/>
      <c r="ADC136" s="97"/>
      <c r="ADD136" s="97"/>
      <c r="ADE136" s="97"/>
      <c r="ADF136" s="97"/>
      <c r="ADG136" s="97"/>
      <c r="ADH136" s="97"/>
      <c r="ADI136" s="97"/>
      <c r="ADJ136" s="97"/>
      <c r="ADK136" s="97"/>
      <c r="ADL136" s="97"/>
      <c r="ADM136" s="97"/>
      <c r="ADN136" s="97"/>
      <c r="ADO136" s="97"/>
      <c r="ADP136" s="97"/>
      <c r="ADQ136" s="97"/>
      <c r="ADR136" s="97"/>
      <c r="ADS136" s="97"/>
      <c r="ADT136" s="97"/>
      <c r="ADU136" s="97"/>
      <c r="ADV136" s="97"/>
      <c r="ADW136" s="97"/>
      <c r="ADX136" s="97"/>
      <c r="ADY136" s="97"/>
      <c r="ADZ136" s="97"/>
      <c r="AEA136" s="97"/>
      <c r="AEB136" s="97"/>
      <c r="AEC136" s="97"/>
      <c r="AED136" s="97"/>
      <c r="AEE136" s="97"/>
      <c r="AEF136" s="97"/>
      <c r="AEG136" s="97"/>
      <c r="AEH136" s="97"/>
      <c r="AEI136" s="97"/>
      <c r="AEJ136" s="97"/>
      <c r="AEK136" s="97"/>
      <c r="AEL136" s="97"/>
      <c r="AEM136" s="97"/>
      <c r="AEN136" s="97"/>
      <c r="AEO136" s="97"/>
      <c r="AEP136" s="97"/>
      <c r="AEQ136" s="97"/>
      <c r="AER136" s="97"/>
      <c r="AES136" s="97"/>
      <c r="AET136" s="97"/>
      <c r="AEU136" s="97"/>
      <c r="AEV136" s="97"/>
      <c r="AEW136" s="97"/>
      <c r="AEX136" s="97"/>
      <c r="AEY136" s="97"/>
      <c r="AEZ136" s="97"/>
      <c r="AFA136" s="97"/>
      <c r="AFB136" s="97"/>
      <c r="AFC136" s="97"/>
      <c r="AFD136" s="97"/>
      <c r="AFE136" s="97"/>
      <c r="AFF136" s="97"/>
      <c r="AFG136" s="97"/>
      <c r="AFH136" s="97"/>
      <c r="AFI136" s="97"/>
      <c r="AFJ136" s="97"/>
      <c r="AFK136" s="97"/>
      <c r="AFL136" s="97"/>
      <c r="AFM136" s="97"/>
      <c r="AFN136" s="97"/>
      <c r="AFO136" s="97"/>
      <c r="AFP136" s="97"/>
      <c r="AFQ136" s="97"/>
      <c r="AFR136" s="97"/>
      <c r="AFS136" s="97"/>
      <c r="AFT136" s="97"/>
      <c r="AFU136" s="97"/>
      <c r="AFV136" s="97"/>
      <c r="AFW136" s="97"/>
      <c r="AFX136" s="97"/>
      <c r="AFY136" s="97"/>
      <c r="AFZ136" s="97"/>
      <c r="AGA136" s="97"/>
      <c r="AGB136" s="97"/>
      <c r="AGC136" s="97"/>
      <c r="AGD136" s="97"/>
      <c r="AGE136" s="97"/>
      <c r="AGF136" s="97"/>
      <c r="AGG136" s="97"/>
      <c r="AGH136" s="97"/>
      <c r="AGI136" s="97"/>
      <c r="AGJ136" s="97"/>
      <c r="AGK136" s="97"/>
      <c r="AGL136" s="97"/>
      <c r="AGM136" s="97"/>
      <c r="AGN136" s="97"/>
      <c r="AGO136" s="97"/>
      <c r="AGP136" s="97"/>
      <c r="AGQ136" s="97"/>
      <c r="AGR136" s="97"/>
      <c r="AGS136" s="97"/>
      <c r="AGT136" s="97"/>
      <c r="AGU136" s="97"/>
      <c r="AGV136" s="97"/>
      <c r="AGW136" s="97"/>
      <c r="AGX136" s="97"/>
      <c r="AGY136" s="97"/>
      <c r="AGZ136" s="97"/>
      <c r="AHA136" s="97"/>
      <c r="AHB136" s="97"/>
      <c r="AHC136" s="97"/>
      <c r="AHD136" s="97"/>
      <c r="AHE136" s="97"/>
      <c r="AHF136" s="97"/>
      <c r="AHG136" s="97"/>
      <c r="AHH136" s="97"/>
      <c r="AHI136" s="97"/>
      <c r="AHJ136" s="97"/>
      <c r="AHK136" s="97"/>
      <c r="AHL136" s="97"/>
      <c r="AHM136" s="97"/>
      <c r="AHN136" s="97"/>
      <c r="AHO136" s="97"/>
      <c r="AHP136" s="97"/>
      <c r="AHQ136" s="97"/>
      <c r="AHR136" s="97"/>
      <c r="AHS136" s="97"/>
      <c r="AHT136" s="97"/>
      <c r="AHU136" s="97"/>
      <c r="AHV136" s="97"/>
      <c r="AHW136" s="97"/>
      <c r="AHX136" s="97"/>
      <c r="AHY136" s="97"/>
      <c r="AHZ136" s="97"/>
      <c r="AIA136" s="97"/>
      <c r="AIB136" s="97"/>
      <c r="AIC136" s="97"/>
      <c r="AID136" s="97"/>
      <c r="AIE136" s="97"/>
      <c r="AIF136" s="97"/>
      <c r="AIG136" s="97"/>
      <c r="AIH136" s="97"/>
      <c r="AII136" s="97"/>
      <c r="AIJ136" s="97"/>
      <c r="AIK136" s="97"/>
      <c r="AIL136" s="97"/>
      <c r="AIM136" s="97"/>
      <c r="AIN136" s="97"/>
      <c r="AIO136" s="97"/>
      <c r="AIP136" s="97"/>
      <c r="AIQ136" s="97"/>
      <c r="AIR136" s="97"/>
      <c r="AIS136" s="97"/>
      <c r="AIT136" s="97"/>
      <c r="AIU136" s="97"/>
      <c r="AIV136" s="97"/>
      <c r="AIW136" s="97"/>
      <c r="AIX136" s="97"/>
      <c r="AIY136" s="97"/>
      <c r="AIZ136" s="97"/>
      <c r="AJA136" s="97"/>
      <c r="AJB136" s="97"/>
      <c r="AJC136" s="97"/>
    </row>
    <row r="137" spans="1:939" s="215" customFormat="1" ht="27" outlineLevel="1" x14ac:dyDescent="0.2">
      <c r="A137" s="225">
        <v>94</v>
      </c>
      <c r="B137" s="475"/>
      <c r="C137" s="476"/>
      <c r="D137" s="476"/>
      <c r="E137" s="476"/>
      <c r="F137" s="476"/>
      <c r="G137" s="476"/>
      <c r="H137" s="476"/>
      <c r="I137" s="476"/>
      <c r="J137" s="476"/>
      <c r="K137" s="477"/>
      <c r="L137" s="282" t="s">
        <v>191</v>
      </c>
      <c r="M137" s="282" t="s">
        <v>51</v>
      </c>
      <c r="N137" s="283">
        <v>15000000000</v>
      </c>
      <c r="O137" s="284">
        <f t="shared" si="22"/>
        <v>37056251.389609426</v>
      </c>
      <c r="P137" s="284">
        <v>15000000000</v>
      </c>
      <c r="Q137" s="285">
        <v>0.115</v>
      </c>
      <c r="R137" s="284">
        <f>3720016988+5279983000</f>
        <v>8999999988</v>
      </c>
      <c r="S137" s="284">
        <f>3370287993.6+85295214+22726326+29089436+33479452+24919706+27037427+32410959+90000000+78736184+85295214+84368092</f>
        <v>3963646003.5999999</v>
      </c>
      <c r="T137" s="286">
        <f t="shared" si="24"/>
        <v>6000000012</v>
      </c>
      <c r="U137" s="287">
        <f t="shared" si="23"/>
        <v>14822500.585488772</v>
      </c>
      <c r="V137" s="288" t="s">
        <v>111</v>
      </c>
      <c r="W137" s="282" t="s">
        <v>374</v>
      </c>
      <c r="X137" s="226"/>
    </row>
    <row r="138" spans="1:939" s="36" customFormat="1" ht="33" customHeight="1" outlineLevel="1" thickBot="1" x14ac:dyDescent="0.3">
      <c r="A138" s="259">
        <v>95</v>
      </c>
      <c r="B138" s="478"/>
      <c r="C138" s="479"/>
      <c r="D138" s="479"/>
      <c r="E138" s="479"/>
      <c r="F138" s="479"/>
      <c r="G138" s="479"/>
      <c r="H138" s="479"/>
      <c r="I138" s="479"/>
      <c r="J138" s="479"/>
      <c r="K138" s="480"/>
      <c r="L138" s="148" t="s">
        <v>322</v>
      </c>
      <c r="M138" s="148" t="s">
        <v>51</v>
      </c>
      <c r="N138" s="16">
        <v>60235505470</v>
      </c>
      <c r="O138" s="16">
        <f t="shared" si="22"/>
        <v>148806802.21843424</v>
      </c>
      <c r="P138" s="16">
        <v>60235505470</v>
      </c>
      <c r="Q138" s="165">
        <v>1.7500000000000002E-2</v>
      </c>
      <c r="R138" s="14">
        <f>3183233220+212876480+215918030+213513700+216535610+214152800+214471030+217463440+215112920+219846551+222811203+220495152+223439815+221362202</f>
        <v>6011232153</v>
      </c>
      <c r="S138" s="14">
        <f>1286100840+85079124+82037574+84441904+81419994+83802804+83484574+80492164+82842684+79870064+82516966+81963767+74281621+82240367+79275714+81591765+78647103+80724716</f>
        <v>2670813745</v>
      </c>
      <c r="T138" s="166">
        <f>P138-R138</f>
        <v>54224273317</v>
      </c>
      <c r="U138" s="151">
        <f t="shared" si="23"/>
        <v>133956553.56357616</v>
      </c>
      <c r="V138" s="167"/>
      <c r="W138" s="168" t="s">
        <v>374</v>
      </c>
      <c r="X138" s="34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  <c r="QR138" s="35"/>
      <c r="QS138" s="35"/>
      <c r="QT138" s="35"/>
      <c r="QU138" s="35"/>
      <c r="QV138" s="35"/>
      <c r="QW138" s="35"/>
      <c r="QX138" s="35"/>
      <c r="QY138" s="35"/>
      <c r="QZ138" s="35"/>
      <c r="RA138" s="35"/>
      <c r="RB138" s="35"/>
      <c r="RC138" s="35"/>
      <c r="RD138" s="35"/>
      <c r="RE138" s="35"/>
      <c r="RF138" s="35"/>
      <c r="RG138" s="35"/>
      <c r="RH138" s="35"/>
      <c r="RI138" s="35"/>
      <c r="RJ138" s="35"/>
      <c r="RK138" s="35"/>
      <c r="RL138" s="35"/>
      <c r="RM138" s="35"/>
      <c r="RN138" s="35"/>
      <c r="RO138" s="35"/>
      <c r="RP138" s="35"/>
      <c r="RQ138" s="35"/>
      <c r="RR138" s="35"/>
      <c r="RS138" s="35"/>
      <c r="RT138" s="35"/>
      <c r="RU138" s="35"/>
      <c r="RV138" s="35"/>
      <c r="RW138" s="35"/>
      <c r="RX138" s="35"/>
      <c r="RY138" s="35"/>
      <c r="RZ138" s="35"/>
      <c r="SA138" s="35"/>
      <c r="SB138" s="35"/>
      <c r="SC138" s="35"/>
      <c r="SD138" s="35"/>
      <c r="SE138" s="35"/>
      <c r="SF138" s="35"/>
      <c r="SG138" s="35"/>
      <c r="SH138" s="35"/>
      <c r="SI138" s="35"/>
      <c r="SJ138" s="35"/>
      <c r="SK138" s="35"/>
      <c r="SL138" s="35"/>
      <c r="SM138" s="35"/>
      <c r="SN138" s="35"/>
      <c r="SO138" s="35"/>
      <c r="SP138" s="35"/>
      <c r="SQ138" s="35"/>
      <c r="SR138" s="35"/>
      <c r="SS138" s="35"/>
      <c r="ST138" s="35"/>
      <c r="SU138" s="35"/>
      <c r="SV138" s="35"/>
      <c r="SW138" s="35"/>
      <c r="SX138" s="35"/>
      <c r="SY138" s="35"/>
      <c r="SZ138" s="35"/>
      <c r="TA138" s="35"/>
      <c r="TB138" s="35"/>
      <c r="TC138" s="35"/>
      <c r="TD138" s="35"/>
      <c r="TE138" s="35"/>
      <c r="TF138" s="35"/>
      <c r="TG138" s="35"/>
      <c r="TH138" s="35"/>
      <c r="TI138" s="35"/>
      <c r="TJ138" s="35"/>
      <c r="TK138" s="35"/>
      <c r="TL138" s="35"/>
      <c r="TM138" s="35"/>
      <c r="TN138" s="35"/>
      <c r="TO138" s="35"/>
      <c r="TP138" s="35"/>
      <c r="TQ138" s="35"/>
      <c r="TR138" s="35"/>
      <c r="TS138" s="35"/>
      <c r="TT138" s="35"/>
      <c r="TU138" s="35"/>
      <c r="TV138" s="35"/>
      <c r="TW138" s="35"/>
      <c r="TX138" s="35"/>
      <c r="TY138" s="35"/>
      <c r="TZ138" s="35"/>
      <c r="UA138" s="35"/>
      <c r="UB138" s="35"/>
      <c r="UC138" s="35"/>
      <c r="UD138" s="35"/>
      <c r="UE138" s="35"/>
      <c r="UF138" s="35"/>
      <c r="UG138" s="35"/>
      <c r="UH138" s="35"/>
      <c r="UI138" s="35"/>
      <c r="UJ138" s="35"/>
      <c r="UK138" s="35"/>
      <c r="UL138" s="35"/>
      <c r="UM138" s="35"/>
      <c r="UN138" s="35"/>
      <c r="UO138" s="35"/>
      <c r="UP138" s="35"/>
      <c r="UQ138" s="35"/>
      <c r="UR138" s="35"/>
      <c r="US138" s="35"/>
      <c r="UT138" s="35"/>
      <c r="UU138" s="35"/>
      <c r="UV138" s="35"/>
      <c r="UW138" s="35"/>
      <c r="UX138" s="35"/>
      <c r="UY138" s="35"/>
      <c r="UZ138" s="35"/>
      <c r="VA138" s="35"/>
      <c r="VB138" s="35"/>
      <c r="VC138" s="35"/>
      <c r="VD138" s="35"/>
      <c r="VE138" s="35"/>
      <c r="VF138" s="35"/>
      <c r="VG138" s="35"/>
      <c r="VH138" s="35"/>
      <c r="VI138" s="35"/>
      <c r="VJ138" s="35"/>
      <c r="VK138" s="35"/>
      <c r="VL138" s="35"/>
      <c r="VM138" s="35"/>
      <c r="VN138" s="35"/>
      <c r="VO138" s="35"/>
      <c r="VP138" s="35"/>
      <c r="VQ138" s="35"/>
      <c r="VR138" s="35"/>
      <c r="VS138" s="35"/>
      <c r="VT138" s="35"/>
      <c r="VU138" s="35"/>
      <c r="VV138" s="35"/>
      <c r="VW138" s="35"/>
      <c r="VX138" s="35"/>
      <c r="VY138" s="35"/>
      <c r="VZ138" s="35"/>
      <c r="WA138" s="35"/>
      <c r="WB138" s="35"/>
      <c r="WC138" s="35"/>
      <c r="WD138" s="35"/>
      <c r="WE138" s="35"/>
      <c r="WF138" s="35"/>
      <c r="WG138" s="35"/>
      <c r="WH138" s="35"/>
      <c r="WI138" s="35"/>
      <c r="WJ138" s="35"/>
      <c r="WK138" s="35"/>
      <c r="WL138" s="35"/>
      <c r="WM138" s="35"/>
      <c r="WN138" s="35"/>
      <c r="WO138" s="35"/>
      <c r="WP138" s="35"/>
      <c r="WQ138" s="35"/>
      <c r="WR138" s="35"/>
      <c r="WS138" s="35"/>
      <c r="WT138" s="35"/>
      <c r="WU138" s="35"/>
      <c r="WV138" s="35"/>
      <c r="WW138" s="35"/>
      <c r="WX138" s="35"/>
      <c r="WY138" s="35"/>
      <c r="WZ138" s="35"/>
      <c r="XA138" s="35"/>
      <c r="XB138" s="35"/>
      <c r="XC138" s="35"/>
      <c r="XD138" s="35"/>
      <c r="XE138" s="35"/>
      <c r="XF138" s="35"/>
      <c r="XG138" s="35"/>
      <c r="XH138" s="35"/>
      <c r="XI138" s="35"/>
      <c r="XJ138" s="35"/>
      <c r="XK138" s="35"/>
      <c r="XL138" s="35"/>
      <c r="XM138" s="35"/>
      <c r="XN138" s="35"/>
      <c r="XO138" s="35"/>
      <c r="XP138" s="35"/>
      <c r="XQ138" s="35"/>
      <c r="XR138" s="35"/>
      <c r="XS138" s="35"/>
      <c r="XT138" s="35"/>
      <c r="XU138" s="35"/>
      <c r="XV138" s="35"/>
      <c r="XW138" s="35"/>
      <c r="XX138" s="35"/>
      <c r="XY138" s="35"/>
      <c r="XZ138" s="35"/>
      <c r="YA138" s="35"/>
      <c r="YB138" s="35"/>
      <c r="YC138" s="35"/>
      <c r="YD138" s="35"/>
      <c r="YE138" s="35"/>
      <c r="YF138" s="35"/>
      <c r="YG138" s="35"/>
      <c r="YH138" s="35"/>
      <c r="YI138" s="35"/>
      <c r="YJ138" s="35"/>
      <c r="YK138" s="35"/>
      <c r="YL138" s="35"/>
      <c r="YM138" s="35"/>
      <c r="YN138" s="35"/>
      <c r="YO138" s="35"/>
      <c r="YP138" s="35"/>
      <c r="YQ138" s="35"/>
      <c r="YR138" s="35"/>
      <c r="YS138" s="35"/>
      <c r="YT138" s="35"/>
      <c r="YU138" s="35"/>
      <c r="YV138" s="35"/>
      <c r="YW138" s="35"/>
      <c r="YX138" s="35"/>
      <c r="YY138" s="35"/>
      <c r="YZ138" s="35"/>
      <c r="ZA138" s="35"/>
      <c r="ZB138" s="35"/>
      <c r="ZC138" s="35"/>
      <c r="ZD138" s="35"/>
      <c r="ZE138" s="35"/>
      <c r="ZF138" s="35"/>
      <c r="ZG138" s="35"/>
      <c r="ZH138" s="35"/>
      <c r="ZI138" s="35"/>
      <c r="ZJ138" s="35"/>
      <c r="ZK138" s="35"/>
      <c r="ZL138" s="35"/>
      <c r="ZM138" s="35"/>
      <c r="ZN138" s="35"/>
      <c r="ZO138" s="35"/>
      <c r="ZP138" s="35"/>
      <c r="ZQ138" s="35"/>
      <c r="ZR138" s="35"/>
      <c r="ZS138" s="35"/>
      <c r="ZT138" s="35"/>
      <c r="ZU138" s="35"/>
      <c r="ZV138" s="35"/>
      <c r="ZW138" s="35"/>
      <c r="ZX138" s="35"/>
      <c r="ZY138" s="35"/>
      <c r="ZZ138" s="35"/>
      <c r="AAA138" s="35"/>
      <c r="AAB138" s="35"/>
      <c r="AAC138" s="35"/>
      <c r="AAD138" s="35"/>
      <c r="AAE138" s="35"/>
      <c r="AAF138" s="35"/>
      <c r="AAG138" s="35"/>
      <c r="AAH138" s="35"/>
      <c r="AAI138" s="35"/>
      <c r="AAJ138" s="35"/>
      <c r="AAK138" s="35"/>
      <c r="AAL138" s="35"/>
      <c r="AAM138" s="35"/>
      <c r="AAN138" s="35"/>
      <c r="AAO138" s="35"/>
      <c r="AAP138" s="35"/>
      <c r="AAQ138" s="35"/>
      <c r="AAR138" s="35"/>
      <c r="AAS138" s="35"/>
      <c r="AAT138" s="35"/>
      <c r="AAU138" s="35"/>
      <c r="AAV138" s="35"/>
      <c r="AAW138" s="35"/>
      <c r="AAX138" s="35"/>
      <c r="AAY138" s="35"/>
      <c r="AAZ138" s="35"/>
      <c r="ABA138" s="35"/>
      <c r="ABB138" s="35"/>
      <c r="ABC138" s="35"/>
      <c r="ABD138" s="35"/>
      <c r="ABE138" s="35"/>
      <c r="ABF138" s="35"/>
      <c r="ABG138" s="35"/>
      <c r="ABH138" s="35"/>
      <c r="ABI138" s="35"/>
      <c r="ABJ138" s="35"/>
      <c r="ABK138" s="35"/>
      <c r="ABL138" s="35"/>
      <c r="ABM138" s="35"/>
      <c r="ABN138" s="35"/>
      <c r="ABO138" s="35"/>
      <c r="ABP138" s="35"/>
      <c r="ABQ138" s="35"/>
      <c r="ABR138" s="35"/>
      <c r="ABS138" s="35"/>
      <c r="ABT138" s="35"/>
      <c r="ABU138" s="35"/>
      <c r="ABV138" s="35"/>
      <c r="ABW138" s="35"/>
      <c r="ABX138" s="35"/>
      <c r="ABY138" s="35"/>
      <c r="ABZ138" s="35"/>
      <c r="ACA138" s="35"/>
      <c r="ACB138" s="35"/>
      <c r="ACC138" s="35"/>
      <c r="ACD138" s="35"/>
      <c r="ACE138" s="35"/>
      <c r="ACF138" s="35"/>
      <c r="ACG138" s="35"/>
      <c r="ACH138" s="35"/>
      <c r="ACI138" s="35"/>
      <c r="ACJ138" s="35"/>
      <c r="ACK138" s="35"/>
      <c r="ACL138" s="35"/>
      <c r="ACM138" s="35"/>
      <c r="ACN138" s="35"/>
      <c r="ACO138" s="35"/>
      <c r="ACP138" s="35"/>
      <c r="ACQ138" s="35"/>
      <c r="ACR138" s="35"/>
      <c r="ACS138" s="35"/>
      <c r="ACT138" s="35"/>
      <c r="ACU138" s="35"/>
      <c r="ACV138" s="35"/>
      <c r="ACW138" s="35"/>
      <c r="ACX138" s="35"/>
      <c r="ACY138" s="35"/>
      <c r="ACZ138" s="35"/>
      <c r="ADA138" s="35"/>
      <c r="ADB138" s="35"/>
      <c r="ADC138" s="35"/>
      <c r="ADD138" s="35"/>
      <c r="ADE138" s="35"/>
      <c r="ADF138" s="35"/>
      <c r="ADG138" s="35"/>
      <c r="ADH138" s="35"/>
      <c r="ADI138" s="35"/>
      <c r="ADJ138" s="35"/>
      <c r="ADK138" s="35"/>
      <c r="ADL138" s="35"/>
      <c r="ADM138" s="35"/>
      <c r="ADN138" s="35"/>
      <c r="ADO138" s="35"/>
      <c r="ADP138" s="35"/>
      <c r="ADQ138" s="35"/>
      <c r="ADR138" s="35"/>
      <c r="ADS138" s="35"/>
      <c r="ADT138" s="35"/>
      <c r="ADU138" s="35"/>
      <c r="ADV138" s="35"/>
      <c r="ADW138" s="35"/>
      <c r="ADX138" s="35"/>
      <c r="ADY138" s="35"/>
      <c r="ADZ138" s="35"/>
      <c r="AEA138" s="35"/>
      <c r="AEB138" s="35"/>
      <c r="AEC138" s="35"/>
      <c r="AED138" s="35"/>
      <c r="AEE138" s="35"/>
      <c r="AEF138" s="35"/>
      <c r="AEG138" s="35"/>
      <c r="AEH138" s="35"/>
      <c r="AEI138" s="35"/>
      <c r="AEJ138" s="35"/>
      <c r="AEK138" s="35"/>
      <c r="AEL138" s="35"/>
      <c r="AEM138" s="35"/>
      <c r="AEN138" s="35"/>
      <c r="AEO138" s="35"/>
      <c r="AEP138" s="35"/>
      <c r="AEQ138" s="35"/>
      <c r="AER138" s="35"/>
      <c r="AES138" s="35"/>
      <c r="AET138" s="35"/>
      <c r="AEU138" s="35"/>
      <c r="AEV138" s="35"/>
      <c r="AEW138" s="35"/>
      <c r="AEX138" s="35"/>
      <c r="AEY138" s="35"/>
      <c r="AEZ138" s="35"/>
      <c r="AFA138" s="35"/>
      <c r="AFB138" s="35"/>
      <c r="AFC138" s="35"/>
      <c r="AFD138" s="35"/>
      <c r="AFE138" s="35"/>
      <c r="AFF138" s="35"/>
      <c r="AFG138" s="35"/>
      <c r="AFH138" s="35"/>
      <c r="AFI138" s="35"/>
      <c r="AFJ138" s="35"/>
      <c r="AFK138" s="35"/>
      <c r="AFL138" s="35"/>
      <c r="AFM138" s="35"/>
      <c r="AFN138" s="35"/>
      <c r="AFO138" s="35"/>
      <c r="AFP138" s="35"/>
      <c r="AFQ138" s="35"/>
      <c r="AFR138" s="35"/>
      <c r="AFS138" s="35"/>
      <c r="AFT138" s="35"/>
      <c r="AFU138" s="35"/>
      <c r="AFV138" s="35"/>
      <c r="AFW138" s="35"/>
      <c r="AFX138" s="35"/>
      <c r="AFY138" s="35"/>
      <c r="AFZ138" s="35"/>
      <c r="AGA138" s="35"/>
      <c r="AGB138" s="35"/>
      <c r="AGC138" s="35"/>
      <c r="AGD138" s="35"/>
      <c r="AGE138" s="35"/>
      <c r="AGF138" s="35"/>
      <c r="AGG138" s="35"/>
      <c r="AGH138" s="35"/>
      <c r="AGI138" s="35"/>
      <c r="AGJ138" s="35"/>
      <c r="AGK138" s="35"/>
      <c r="AGL138" s="35"/>
      <c r="AGM138" s="35"/>
      <c r="AGN138" s="35"/>
      <c r="AGO138" s="35"/>
      <c r="AGP138" s="35"/>
      <c r="AGQ138" s="35"/>
      <c r="AGR138" s="35"/>
      <c r="AGS138" s="35"/>
      <c r="AGT138" s="35"/>
      <c r="AGU138" s="35"/>
      <c r="AGV138" s="35"/>
      <c r="AGW138" s="35"/>
      <c r="AGX138" s="35"/>
      <c r="AGY138" s="35"/>
      <c r="AGZ138" s="35"/>
      <c r="AHA138" s="35"/>
      <c r="AHB138" s="35"/>
      <c r="AHC138" s="35"/>
      <c r="AHD138" s="35"/>
      <c r="AHE138" s="35"/>
      <c r="AHF138" s="35"/>
      <c r="AHG138" s="35"/>
      <c r="AHH138" s="35"/>
      <c r="AHI138" s="35"/>
      <c r="AHJ138" s="35"/>
      <c r="AHK138" s="35"/>
      <c r="AHL138" s="35"/>
      <c r="AHM138" s="35"/>
      <c r="AHN138" s="35"/>
      <c r="AHO138" s="35"/>
      <c r="AHP138" s="35"/>
      <c r="AHQ138" s="35"/>
      <c r="AHR138" s="35"/>
      <c r="AHS138" s="35"/>
      <c r="AHT138" s="35"/>
      <c r="AHU138" s="35"/>
      <c r="AHV138" s="35"/>
      <c r="AHW138" s="35"/>
      <c r="AHX138" s="35"/>
      <c r="AHY138" s="35"/>
      <c r="AHZ138" s="35"/>
      <c r="AIA138" s="35"/>
      <c r="AIB138" s="35"/>
      <c r="AIC138" s="35"/>
      <c r="AID138" s="35"/>
      <c r="AIE138" s="35"/>
      <c r="AIF138" s="35"/>
      <c r="AIG138" s="35"/>
      <c r="AIH138" s="35"/>
      <c r="AII138" s="35"/>
      <c r="AIJ138" s="35"/>
      <c r="AIK138" s="35"/>
      <c r="AIL138" s="35"/>
      <c r="AIM138" s="35"/>
      <c r="AIN138" s="35"/>
      <c r="AIO138" s="35"/>
      <c r="AIP138" s="35"/>
      <c r="AIQ138" s="35"/>
      <c r="AIR138" s="35"/>
      <c r="AIS138" s="35"/>
      <c r="AIT138" s="35"/>
      <c r="AIU138" s="35"/>
      <c r="AIV138" s="35"/>
      <c r="AIW138" s="35"/>
      <c r="AIX138" s="35"/>
      <c r="AIY138" s="35"/>
      <c r="AIZ138" s="35"/>
      <c r="AJA138" s="35"/>
      <c r="AJB138" s="35"/>
      <c r="AJC138" s="35"/>
    </row>
    <row r="139" spans="1:939" s="85" customFormat="1" ht="30" customHeight="1" x14ac:dyDescent="0.25">
      <c r="A139" s="461" t="s">
        <v>352</v>
      </c>
      <c r="B139" s="462"/>
      <c r="C139" s="462"/>
      <c r="D139" s="486" t="s">
        <v>30</v>
      </c>
      <c r="E139" s="487"/>
      <c r="F139" s="487"/>
      <c r="G139" s="487"/>
      <c r="H139" s="487"/>
      <c r="I139" s="487"/>
      <c r="J139" s="487"/>
      <c r="K139" s="487"/>
      <c r="L139" s="488"/>
      <c r="M139" s="169"/>
      <c r="N139" s="80">
        <f>SUMIF($M$114:$M$138,D139,$N$114:$N$138)</f>
        <v>0</v>
      </c>
      <c r="O139" s="81"/>
      <c r="P139" s="98">
        <f>SUMIF($M$104:$M$138,D139,$P$104:$P$138)</f>
        <v>0</v>
      </c>
      <c r="Q139" s="98"/>
      <c r="R139" s="88">
        <f>SUMIF($M$114:$M$138,D139,$R$114:$R$138)</f>
        <v>0</v>
      </c>
      <c r="S139" s="98">
        <f>SUMIF($M$104:$M$138,D139,$S$104:$S$138)</f>
        <v>0</v>
      </c>
      <c r="T139" s="81">
        <f>SUMIF($M$104:$M$138,D139,$T$104:$T$138)</f>
        <v>0</v>
      </c>
      <c r="U139" s="81"/>
      <c r="V139" s="83"/>
      <c r="W139" s="84"/>
      <c r="X139" s="47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  <c r="BQ139" s="68"/>
      <c r="BR139" s="68"/>
      <c r="BS139" s="68"/>
      <c r="BT139" s="68"/>
      <c r="BU139" s="68"/>
      <c r="BV139" s="68"/>
      <c r="BW139" s="68"/>
      <c r="BX139" s="68"/>
      <c r="BY139" s="68"/>
      <c r="BZ139" s="68"/>
      <c r="CA139" s="68"/>
      <c r="CB139" s="68"/>
      <c r="CC139" s="68"/>
      <c r="CD139" s="68"/>
      <c r="CE139" s="68"/>
      <c r="CF139" s="68"/>
      <c r="CG139" s="68"/>
      <c r="CH139" s="68"/>
      <c r="CI139" s="68"/>
      <c r="CJ139" s="68"/>
      <c r="CK139" s="68"/>
      <c r="CL139" s="68"/>
      <c r="CM139" s="68"/>
      <c r="CN139" s="68"/>
      <c r="CO139" s="68"/>
      <c r="CP139" s="68"/>
      <c r="CQ139" s="68"/>
      <c r="CR139" s="68"/>
      <c r="CS139" s="68"/>
      <c r="CT139" s="68"/>
      <c r="CU139" s="68"/>
      <c r="CV139" s="68"/>
      <c r="CW139" s="68"/>
      <c r="CX139" s="68"/>
      <c r="CY139" s="68"/>
      <c r="CZ139" s="68"/>
      <c r="DA139" s="68"/>
      <c r="DB139" s="68"/>
      <c r="DC139" s="68"/>
      <c r="DD139" s="68"/>
      <c r="DE139" s="68"/>
      <c r="DF139" s="68"/>
      <c r="DG139" s="68"/>
      <c r="DH139" s="68"/>
      <c r="DI139" s="68"/>
      <c r="DJ139" s="68"/>
      <c r="DK139" s="68"/>
      <c r="DL139" s="68"/>
      <c r="DM139" s="68"/>
      <c r="DN139" s="68"/>
      <c r="DO139" s="68"/>
      <c r="DP139" s="68"/>
      <c r="DQ139" s="68"/>
      <c r="DR139" s="68"/>
      <c r="DS139" s="68"/>
      <c r="DT139" s="68"/>
      <c r="DU139" s="68"/>
      <c r="DV139" s="68"/>
      <c r="DW139" s="68"/>
      <c r="DX139" s="68"/>
      <c r="DY139" s="68"/>
      <c r="DZ139" s="68"/>
      <c r="EA139" s="68"/>
      <c r="EB139" s="68"/>
      <c r="EC139" s="68"/>
      <c r="ED139" s="68"/>
      <c r="EE139" s="68"/>
      <c r="EF139" s="68"/>
      <c r="EG139" s="68"/>
      <c r="EH139" s="68"/>
      <c r="EI139" s="68"/>
      <c r="EJ139" s="68"/>
      <c r="EK139" s="68"/>
      <c r="EL139" s="68"/>
      <c r="EM139" s="68"/>
      <c r="EN139" s="68"/>
      <c r="EO139" s="68"/>
      <c r="EP139" s="68"/>
      <c r="EQ139" s="68"/>
      <c r="ER139" s="68"/>
      <c r="ES139" s="68"/>
      <c r="ET139" s="68"/>
      <c r="EU139" s="68"/>
      <c r="EV139" s="68"/>
      <c r="EW139" s="68"/>
      <c r="EX139" s="68"/>
      <c r="EY139" s="68"/>
      <c r="EZ139" s="68"/>
      <c r="FA139" s="68"/>
      <c r="FB139" s="68"/>
      <c r="FC139" s="68"/>
      <c r="FD139" s="68"/>
      <c r="FE139" s="68"/>
      <c r="FF139" s="68"/>
      <c r="FG139" s="68"/>
      <c r="FH139" s="68"/>
      <c r="FI139" s="68"/>
      <c r="FJ139" s="68"/>
      <c r="FK139" s="68"/>
      <c r="FL139" s="68"/>
      <c r="FM139" s="68"/>
      <c r="FN139" s="68"/>
      <c r="FO139" s="68"/>
      <c r="FP139" s="68"/>
      <c r="FQ139" s="68"/>
      <c r="FR139" s="68"/>
      <c r="FS139" s="68"/>
      <c r="FT139" s="68"/>
      <c r="FU139" s="68"/>
      <c r="FV139" s="68"/>
      <c r="FW139" s="68"/>
      <c r="FX139" s="68"/>
      <c r="FY139" s="68"/>
      <c r="FZ139" s="68"/>
      <c r="GA139" s="68"/>
      <c r="GB139" s="68"/>
      <c r="GC139" s="68"/>
      <c r="GD139" s="68"/>
      <c r="GE139" s="68"/>
      <c r="GF139" s="68"/>
      <c r="GG139" s="68"/>
      <c r="GH139" s="68"/>
      <c r="GI139" s="68"/>
      <c r="GJ139" s="68"/>
      <c r="GK139" s="68"/>
      <c r="GL139" s="68"/>
      <c r="GM139" s="68"/>
      <c r="GN139" s="68"/>
      <c r="GO139" s="68"/>
      <c r="GP139" s="68"/>
      <c r="GQ139" s="68"/>
      <c r="GR139" s="68"/>
      <c r="GS139" s="68"/>
      <c r="GT139" s="68"/>
      <c r="GU139" s="68"/>
      <c r="GV139" s="68"/>
      <c r="GW139" s="68"/>
      <c r="GX139" s="68"/>
      <c r="GY139" s="68"/>
      <c r="GZ139" s="68"/>
      <c r="HA139" s="68"/>
      <c r="HB139" s="68"/>
      <c r="HC139" s="68"/>
      <c r="HD139" s="68"/>
      <c r="HE139" s="68"/>
      <c r="HF139" s="68"/>
      <c r="HG139" s="68"/>
      <c r="HH139" s="68"/>
      <c r="HI139" s="68"/>
      <c r="HJ139" s="68"/>
      <c r="HK139" s="68"/>
      <c r="HL139" s="68"/>
      <c r="HM139" s="68"/>
      <c r="HN139" s="68"/>
      <c r="HO139" s="68"/>
      <c r="HP139" s="68"/>
      <c r="HQ139" s="68"/>
      <c r="HR139" s="68"/>
      <c r="HS139" s="68"/>
      <c r="HT139" s="68"/>
      <c r="HU139" s="68"/>
      <c r="HV139" s="68"/>
      <c r="HW139" s="68"/>
      <c r="HX139" s="68"/>
      <c r="HY139" s="68"/>
      <c r="HZ139" s="68"/>
      <c r="IA139" s="68"/>
      <c r="IB139" s="68"/>
      <c r="IC139" s="68"/>
      <c r="ID139" s="68"/>
      <c r="IE139" s="68"/>
      <c r="IF139" s="68"/>
      <c r="IG139" s="68"/>
      <c r="IH139" s="68"/>
      <c r="II139" s="68"/>
      <c r="IJ139" s="68"/>
      <c r="IK139" s="68"/>
      <c r="IL139" s="68"/>
      <c r="IM139" s="68"/>
      <c r="IN139" s="68"/>
      <c r="IO139" s="68"/>
      <c r="IP139" s="68"/>
      <c r="IQ139" s="68"/>
      <c r="IR139" s="68"/>
      <c r="IS139" s="68"/>
      <c r="IT139" s="68"/>
      <c r="IU139" s="68"/>
      <c r="IV139" s="68"/>
      <c r="IW139" s="68"/>
      <c r="IX139" s="68"/>
      <c r="IY139" s="68"/>
      <c r="IZ139" s="68"/>
      <c r="JA139" s="68"/>
      <c r="JB139" s="68"/>
      <c r="JC139" s="68"/>
      <c r="JD139" s="68"/>
      <c r="JE139" s="68"/>
      <c r="JF139" s="68"/>
      <c r="JG139" s="68"/>
      <c r="JH139" s="68"/>
      <c r="JI139" s="68"/>
      <c r="JJ139" s="68"/>
      <c r="JK139" s="68"/>
      <c r="JL139" s="68"/>
      <c r="JM139" s="68"/>
      <c r="JN139" s="68"/>
      <c r="JO139" s="68"/>
      <c r="JP139" s="68"/>
      <c r="JQ139" s="68"/>
      <c r="JR139" s="68"/>
      <c r="JS139" s="68"/>
      <c r="JT139" s="68"/>
      <c r="JU139" s="68"/>
      <c r="JV139" s="68"/>
      <c r="JW139" s="68"/>
      <c r="JX139" s="68"/>
      <c r="JY139" s="68"/>
      <c r="JZ139" s="68"/>
      <c r="KA139" s="68"/>
      <c r="KB139" s="68"/>
      <c r="KC139" s="68"/>
      <c r="KD139" s="68"/>
      <c r="KE139" s="68"/>
      <c r="KF139" s="68"/>
      <c r="KG139" s="68"/>
      <c r="KH139" s="68"/>
      <c r="KI139" s="68"/>
      <c r="KJ139" s="68"/>
      <c r="KK139" s="68"/>
      <c r="KL139" s="68"/>
      <c r="KM139" s="68"/>
      <c r="KN139" s="68"/>
      <c r="KO139" s="68"/>
      <c r="KP139" s="68"/>
      <c r="KQ139" s="68"/>
      <c r="KR139" s="68"/>
      <c r="KS139" s="68"/>
      <c r="KT139" s="68"/>
      <c r="KU139" s="68"/>
      <c r="KV139" s="68"/>
      <c r="KW139" s="68"/>
      <c r="KX139" s="68"/>
      <c r="KY139" s="68"/>
      <c r="KZ139" s="68"/>
      <c r="LA139" s="68"/>
      <c r="LB139" s="68"/>
      <c r="LC139" s="68"/>
      <c r="LD139" s="68"/>
      <c r="LE139" s="68"/>
      <c r="LF139" s="68"/>
      <c r="LG139" s="68"/>
      <c r="LH139" s="68"/>
      <c r="LI139" s="68"/>
      <c r="LJ139" s="68"/>
      <c r="LK139" s="68"/>
      <c r="LL139" s="68"/>
      <c r="LM139" s="68"/>
      <c r="LN139" s="68"/>
      <c r="LO139" s="68"/>
      <c r="LP139" s="68"/>
      <c r="LQ139" s="68"/>
      <c r="LR139" s="68"/>
      <c r="LS139" s="68"/>
      <c r="LT139" s="68"/>
      <c r="LU139" s="68"/>
      <c r="LV139" s="68"/>
      <c r="LW139" s="68"/>
      <c r="LX139" s="68"/>
      <c r="LY139" s="68"/>
      <c r="LZ139" s="68"/>
      <c r="MA139" s="68"/>
      <c r="MB139" s="68"/>
      <c r="MC139" s="68"/>
      <c r="MD139" s="68"/>
      <c r="ME139" s="68"/>
      <c r="MF139" s="68"/>
      <c r="MG139" s="68"/>
      <c r="MH139" s="68"/>
      <c r="MI139" s="68"/>
      <c r="MJ139" s="68"/>
      <c r="MK139" s="68"/>
      <c r="ML139" s="68"/>
      <c r="MM139" s="68"/>
      <c r="MN139" s="68"/>
      <c r="MO139" s="68"/>
      <c r="MP139" s="68"/>
      <c r="MQ139" s="68"/>
      <c r="MR139" s="68"/>
      <c r="MS139" s="68"/>
      <c r="MT139" s="68"/>
      <c r="MU139" s="68"/>
      <c r="MV139" s="68"/>
      <c r="MW139" s="68"/>
      <c r="MX139" s="68"/>
      <c r="MY139" s="68"/>
      <c r="MZ139" s="68"/>
      <c r="NA139" s="68"/>
      <c r="NB139" s="68"/>
      <c r="NC139" s="68"/>
      <c r="ND139" s="68"/>
      <c r="NE139" s="68"/>
      <c r="NF139" s="68"/>
      <c r="NG139" s="68"/>
      <c r="NH139" s="68"/>
      <c r="NI139" s="68"/>
      <c r="NJ139" s="68"/>
      <c r="NK139" s="68"/>
      <c r="NL139" s="68"/>
      <c r="NM139" s="68"/>
      <c r="NN139" s="68"/>
      <c r="NO139" s="68"/>
      <c r="NP139" s="68"/>
      <c r="NQ139" s="68"/>
      <c r="NR139" s="68"/>
      <c r="NS139" s="68"/>
      <c r="NT139" s="68"/>
      <c r="NU139" s="68"/>
      <c r="NV139" s="68"/>
      <c r="NW139" s="68"/>
      <c r="NX139" s="68"/>
      <c r="NY139" s="68"/>
      <c r="NZ139" s="68"/>
      <c r="OA139" s="68"/>
      <c r="OB139" s="68"/>
      <c r="OC139" s="68"/>
      <c r="OD139" s="68"/>
      <c r="OE139" s="68"/>
      <c r="OF139" s="68"/>
      <c r="OG139" s="68"/>
      <c r="OH139" s="68"/>
      <c r="OI139" s="68"/>
      <c r="OJ139" s="68"/>
      <c r="OK139" s="68"/>
      <c r="OL139" s="68"/>
      <c r="OM139" s="68"/>
      <c r="ON139" s="68"/>
      <c r="OO139" s="68"/>
      <c r="OP139" s="68"/>
      <c r="OQ139" s="68"/>
      <c r="OR139" s="68"/>
      <c r="OS139" s="68"/>
      <c r="OT139" s="68"/>
      <c r="OU139" s="68"/>
      <c r="OV139" s="68"/>
      <c r="OW139" s="68"/>
      <c r="OX139" s="68"/>
      <c r="OY139" s="68"/>
      <c r="OZ139" s="68"/>
      <c r="PA139" s="68"/>
      <c r="PB139" s="68"/>
      <c r="PC139" s="68"/>
      <c r="PD139" s="68"/>
      <c r="PE139" s="68"/>
      <c r="PF139" s="68"/>
      <c r="PG139" s="68"/>
      <c r="PH139" s="68"/>
      <c r="PI139" s="68"/>
      <c r="PJ139" s="68"/>
      <c r="PK139" s="68"/>
      <c r="PL139" s="68"/>
      <c r="PM139" s="68"/>
      <c r="PN139" s="68"/>
      <c r="PO139" s="68"/>
      <c r="PP139" s="68"/>
      <c r="PQ139" s="68"/>
      <c r="PR139" s="68"/>
      <c r="PS139" s="68"/>
      <c r="PT139" s="68"/>
      <c r="PU139" s="68"/>
      <c r="PV139" s="68"/>
      <c r="PW139" s="68"/>
      <c r="PX139" s="68"/>
      <c r="PY139" s="68"/>
      <c r="PZ139" s="68"/>
      <c r="QA139" s="68"/>
      <c r="QB139" s="68"/>
      <c r="QC139" s="68"/>
      <c r="QD139" s="68"/>
      <c r="QE139" s="68"/>
      <c r="QF139" s="68"/>
      <c r="QG139" s="68"/>
      <c r="QH139" s="68"/>
      <c r="QI139" s="68"/>
      <c r="QJ139" s="68"/>
      <c r="QK139" s="68"/>
      <c r="QL139" s="68"/>
      <c r="QM139" s="68"/>
      <c r="QN139" s="68"/>
      <c r="QO139" s="68"/>
      <c r="QP139" s="68"/>
      <c r="QQ139" s="68"/>
      <c r="QR139" s="68"/>
      <c r="QS139" s="68"/>
      <c r="QT139" s="68"/>
      <c r="QU139" s="68"/>
      <c r="QV139" s="68"/>
      <c r="QW139" s="68"/>
      <c r="QX139" s="68"/>
      <c r="QY139" s="68"/>
      <c r="QZ139" s="68"/>
      <c r="RA139" s="68"/>
      <c r="RB139" s="68"/>
      <c r="RC139" s="68"/>
      <c r="RD139" s="68"/>
      <c r="RE139" s="68"/>
      <c r="RF139" s="68"/>
      <c r="RG139" s="68"/>
      <c r="RH139" s="68"/>
      <c r="RI139" s="68"/>
      <c r="RJ139" s="68"/>
      <c r="RK139" s="68"/>
      <c r="RL139" s="68"/>
      <c r="RM139" s="68"/>
      <c r="RN139" s="68"/>
      <c r="RO139" s="68"/>
      <c r="RP139" s="68"/>
      <c r="RQ139" s="68"/>
      <c r="RR139" s="68"/>
      <c r="RS139" s="68"/>
      <c r="RT139" s="68"/>
      <c r="RU139" s="68"/>
      <c r="RV139" s="68"/>
      <c r="RW139" s="68"/>
      <c r="RX139" s="68"/>
      <c r="RY139" s="68"/>
      <c r="RZ139" s="68"/>
      <c r="SA139" s="68"/>
      <c r="SB139" s="68"/>
      <c r="SC139" s="68"/>
      <c r="SD139" s="68"/>
      <c r="SE139" s="68"/>
      <c r="SF139" s="68"/>
      <c r="SG139" s="68"/>
      <c r="SH139" s="68"/>
      <c r="SI139" s="68"/>
      <c r="SJ139" s="68"/>
      <c r="SK139" s="68"/>
      <c r="SL139" s="68"/>
      <c r="SM139" s="68"/>
      <c r="SN139" s="68"/>
      <c r="SO139" s="68"/>
      <c r="SP139" s="68"/>
      <c r="SQ139" s="68"/>
      <c r="SR139" s="68"/>
      <c r="SS139" s="68"/>
      <c r="ST139" s="68"/>
      <c r="SU139" s="68"/>
      <c r="SV139" s="68"/>
      <c r="SW139" s="68"/>
      <c r="SX139" s="68"/>
      <c r="SY139" s="68"/>
      <c r="SZ139" s="68"/>
      <c r="TA139" s="68"/>
      <c r="TB139" s="68"/>
      <c r="TC139" s="68"/>
      <c r="TD139" s="68"/>
      <c r="TE139" s="68"/>
      <c r="TF139" s="68"/>
      <c r="TG139" s="68"/>
      <c r="TH139" s="68"/>
      <c r="TI139" s="68"/>
      <c r="TJ139" s="68"/>
      <c r="TK139" s="68"/>
      <c r="TL139" s="68"/>
      <c r="TM139" s="68"/>
      <c r="TN139" s="68"/>
      <c r="TO139" s="68"/>
      <c r="TP139" s="68"/>
      <c r="TQ139" s="68"/>
      <c r="TR139" s="68"/>
      <c r="TS139" s="68"/>
      <c r="TT139" s="68"/>
      <c r="TU139" s="68"/>
      <c r="TV139" s="68"/>
      <c r="TW139" s="68"/>
      <c r="TX139" s="68"/>
      <c r="TY139" s="68"/>
      <c r="TZ139" s="68"/>
      <c r="UA139" s="68"/>
      <c r="UB139" s="68"/>
      <c r="UC139" s="68"/>
      <c r="UD139" s="68"/>
      <c r="UE139" s="68"/>
      <c r="UF139" s="68"/>
      <c r="UG139" s="68"/>
      <c r="UH139" s="68"/>
      <c r="UI139" s="68"/>
      <c r="UJ139" s="68"/>
      <c r="UK139" s="68"/>
      <c r="UL139" s="68"/>
      <c r="UM139" s="68"/>
      <c r="UN139" s="68"/>
      <c r="UO139" s="68"/>
      <c r="UP139" s="68"/>
      <c r="UQ139" s="68"/>
      <c r="UR139" s="68"/>
      <c r="US139" s="68"/>
      <c r="UT139" s="68"/>
      <c r="UU139" s="68"/>
      <c r="UV139" s="68"/>
      <c r="UW139" s="68"/>
      <c r="UX139" s="68"/>
      <c r="UY139" s="68"/>
      <c r="UZ139" s="68"/>
      <c r="VA139" s="68"/>
      <c r="VB139" s="68"/>
      <c r="VC139" s="68"/>
      <c r="VD139" s="68"/>
      <c r="VE139" s="68"/>
      <c r="VF139" s="68"/>
      <c r="VG139" s="68"/>
      <c r="VH139" s="68"/>
      <c r="VI139" s="68"/>
      <c r="VJ139" s="68"/>
      <c r="VK139" s="68"/>
      <c r="VL139" s="68"/>
      <c r="VM139" s="68"/>
      <c r="VN139" s="68"/>
      <c r="VO139" s="68"/>
      <c r="VP139" s="68"/>
      <c r="VQ139" s="68"/>
      <c r="VR139" s="68"/>
      <c r="VS139" s="68"/>
      <c r="VT139" s="68"/>
      <c r="VU139" s="68"/>
      <c r="VV139" s="68"/>
      <c r="VW139" s="68"/>
      <c r="VX139" s="68"/>
      <c r="VY139" s="68"/>
      <c r="VZ139" s="68"/>
      <c r="WA139" s="68"/>
      <c r="WB139" s="68"/>
      <c r="WC139" s="68"/>
      <c r="WD139" s="68"/>
      <c r="WE139" s="68"/>
      <c r="WF139" s="68"/>
      <c r="WG139" s="68"/>
      <c r="WH139" s="68"/>
      <c r="WI139" s="68"/>
      <c r="WJ139" s="68"/>
      <c r="WK139" s="68"/>
      <c r="WL139" s="68"/>
      <c r="WM139" s="68"/>
      <c r="WN139" s="68"/>
      <c r="WO139" s="68"/>
      <c r="WP139" s="68"/>
      <c r="WQ139" s="68"/>
      <c r="WR139" s="68"/>
      <c r="WS139" s="68"/>
      <c r="WT139" s="68"/>
      <c r="WU139" s="68"/>
      <c r="WV139" s="68"/>
      <c r="WW139" s="68"/>
      <c r="WX139" s="68"/>
      <c r="WY139" s="68"/>
      <c r="WZ139" s="68"/>
      <c r="XA139" s="68"/>
      <c r="XB139" s="68"/>
      <c r="XC139" s="68"/>
      <c r="XD139" s="68"/>
      <c r="XE139" s="68"/>
      <c r="XF139" s="68"/>
      <c r="XG139" s="68"/>
      <c r="XH139" s="68"/>
      <c r="XI139" s="68"/>
      <c r="XJ139" s="68"/>
      <c r="XK139" s="68"/>
      <c r="XL139" s="68"/>
      <c r="XM139" s="68"/>
      <c r="XN139" s="68"/>
      <c r="XO139" s="68"/>
      <c r="XP139" s="68"/>
      <c r="XQ139" s="68"/>
      <c r="XR139" s="68"/>
      <c r="XS139" s="68"/>
      <c r="XT139" s="68"/>
      <c r="XU139" s="68"/>
      <c r="XV139" s="68"/>
      <c r="XW139" s="68"/>
      <c r="XX139" s="68"/>
      <c r="XY139" s="68"/>
      <c r="XZ139" s="68"/>
      <c r="YA139" s="68"/>
      <c r="YB139" s="68"/>
      <c r="YC139" s="68"/>
      <c r="YD139" s="68"/>
      <c r="YE139" s="68"/>
      <c r="YF139" s="68"/>
      <c r="YG139" s="68"/>
      <c r="YH139" s="68"/>
      <c r="YI139" s="68"/>
      <c r="YJ139" s="68"/>
      <c r="YK139" s="68"/>
      <c r="YL139" s="68"/>
      <c r="YM139" s="68"/>
      <c r="YN139" s="68"/>
      <c r="YO139" s="68"/>
      <c r="YP139" s="68"/>
      <c r="YQ139" s="68"/>
      <c r="YR139" s="68"/>
      <c r="YS139" s="68"/>
      <c r="YT139" s="68"/>
      <c r="YU139" s="68"/>
      <c r="YV139" s="68"/>
      <c r="YW139" s="68"/>
      <c r="YX139" s="68"/>
      <c r="YY139" s="68"/>
      <c r="YZ139" s="68"/>
      <c r="ZA139" s="68"/>
      <c r="ZB139" s="68"/>
      <c r="ZC139" s="68"/>
      <c r="ZD139" s="68"/>
      <c r="ZE139" s="68"/>
      <c r="ZF139" s="68"/>
      <c r="ZG139" s="68"/>
      <c r="ZH139" s="68"/>
      <c r="ZI139" s="68"/>
      <c r="ZJ139" s="68"/>
      <c r="ZK139" s="68"/>
      <c r="ZL139" s="68"/>
      <c r="ZM139" s="68"/>
      <c r="ZN139" s="68"/>
      <c r="ZO139" s="68"/>
      <c r="ZP139" s="68"/>
      <c r="ZQ139" s="68"/>
      <c r="ZR139" s="68"/>
      <c r="ZS139" s="68"/>
      <c r="ZT139" s="68"/>
      <c r="ZU139" s="68"/>
      <c r="ZV139" s="68"/>
      <c r="ZW139" s="68"/>
      <c r="ZX139" s="68"/>
      <c r="ZY139" s="68"/>
      <c r="ZZ139" s="68"/>
      <c r="AAA139" s="68"/>
      <c r="AAB139" s="68"/>
      <c r="AAC139" s="68"/>
      <c r="AAD139" s="68"/>
      <c r="AAE139" s="68"/>
      <c r="AAF139" s="68"/>
      <c r="AAG139" s="68"/>
      <c r="AAH139" s="68"/>
      <c r="AAI139" s="68"/>
      <c r="AAJ139" s="68"/>
      <c r="AAK139" s="68"/>
      <c r="AAL139" s="68"/>
      <c r="AAM139" s="68"/>
      <c r="AAN139" s="68"/>
      <c r="AAO139" s="68"/>
      <c r="AAP139" s="68"/>
      <c r="AAQ139" s="68"/>
      <c r="AAR139" s="68"/>
      <c r="AAS139" s="68"/>
      <c r="AAT139" s="68"/>
      <c r="AAU139" s="68"/>
      <c r="AAV139" s="68"/>
      <c r="AAW139" s="68"/>
      <c r="AAX139" s="68"/>
      <c r="AAY139" s="68"/>
      <c r="AAZ139" s="68"/>
      <c r="ABA139" s="68"/>
      <c r="ABB139" s="68"/>
      <c r="ABC139" s="68"/>
      <c r="ABD139" s="68"/>
      <c r="ABE139" s="68"/>
      <c r="ABF139" s="68"/>
      <c r="ABG139" s="68"/>
      <c r="ABH139" s="68"/>
      <c r="ABI139" s="68"/>
      <c r="ABJ139" s="68"/>
      <c r="ABK139" s="68"/>
      <c r="ABL139" s="68"/>
      <c r="ABM139" s="68"/>
      <c r="ABN139" s="68"/>
      <c r="ABO139" s="68"/>
      <c r="ABP139" s="68"/>
      <c r="ABQ139" s="68"/>
      <c r="ABR139" s="68"/>
      <c r="ABS139" s="68"/>
      <c r="ABT139" s="68"/>
      <c r="ABU139" s="68"/>
      <c r="ABV139" s="68"/>
      <c r="ABW139" s="68"/>
      <c r="ABX139" s="68"/>
      <c r="ABY139" s="68"/>
      <c r="ABZ139" s="68"/>
      <c r="ACA139" s="68"/>
      <c r="ACB139" s="68"/>
      <c r="ACC139" s="68"/>
      <c r="ACD139" s="68"/>
      <c r="ACE139" s="68"/>
      <c r="ACF139" s="68"/>
      <c r="ACG139" s="68"/>
      <c r="ACH139" s="68"/>
      <c r="ACI139" s="68"/>
      <c r="ACJ139" s="68"/>
      <c r="ACK139" s="68"/>
      <c r="ACL139" s="68"/>
      <c r="ACM139" s="68"/>
      <c r="ACN139" s="68"/>
      <c r="ACO139" s="68"/>
      <c r="ACP139" s="68"/>
      <c r="ACQ139" s="68"/>
      <c r="ACR139" s="68"/>
      <c r="ACS139" s="68"/>
      <c r="ACT139" s="68"/>
      <c r="ACU139" s="68"/>
      <c r="ACV139" s="68"/>
      <c r="ACW139" s="68"/>
      <c r="ACX139" s="68"/>
      <c r="ACY139" s="68"/>
      <c r="ACZ139" s="68"/>
      <c r="ADA139" s="68"/>
      <c r="ADB139" s="68"/>
      <c r="ADC139" s="68"/>
      <c r="ADD139" s="68"/>
      <c r="ADE139" s="68"/>
      <c r="ADF139" s="68"/>
      <c r="ADG139" s="68"/>
      <c r="ADH139" s="68"/>
      <c r="ADI139" s="68"/>
      <c r="ADJ139" s="68"/>
      <c r="ADK139" s="68"/>
      <c r="ADL139" s="68"/>
      <c r="ADM139" s="68"/>
      <c r="ADN139" s="68"/>
      <c r="ADO139" s="68"/>
      <c r="ADP139" s="68"/>
      <c r="ADQ139" s="68"/>
      <c r="ADR139" s="68"/>
      <c r="ADS139" s="68"/>
      <c r="ADT139" s="68"/>
      <c r="ADU139" s="68"/>
      <c r="ADV139" s="68"/>
      <c r="ADW139" s="68"/>
      <c r="ADX139" s="68"/>
      <c r="ADY139" s="68"/>
      <c r="ADZ139" s="68"/>
      <c r="AEA139" s="68"/>
      <c r="AEB139" s="68"/>
      <c r="AEC139" s="68"/>
      <c r="AED139" s="68"/>
      <c r="AEE139" s="68"/>
      <c r="AEF139" s="68"/>
      <c r="AEG139" s="68"/>
      <c r="AEH139" s="68"/>
      <c r="AEI139" s="68"/>
      <c r="AEJ139" s="68"/>
      <c r="AEK139" s="68"/>
      <c r="AEL139" s="68"/>
      <c r="AEM139" s="68"/>
      <c r="AEN139" s="68"/>
      <c r="AEO139" s="68"/>
      <c r="AEP139" s="68"/>
      <c r="AEQ139" s="68"/>
      <c r="AER139" s="68"/>
      <c r="AES139" s="68"/>
      <c r="AET139" s="68"/>
      <c r="AEU139" s="68"/>
      <c r="AEV139" s="68"/>
      <c r="AEW139" s="68"/>
      <c r="AEX139" s="68"/>
      <c r="AEY139" s="68"/>
      <c r="AEZ139" s="68"/>
      <c r="AFA139" s="68"/>
      <c r="AFB139" s="68"/>
      <c r="AFC139" s="68"/>
      <c r="AFD139" s="68"/>
      <c r="AFE139" s="68"/>
      <c r="AFF139" s="68"/>
      <c r="AFG139" s="68"/>
      <c r="AFH139" s="68"/>
      <c r="AFI139" s="68"/>
      <c r="AFJ139" s="68"/>
      <c r="AFK139" s="68"/>
      <c r="AFL139" s="68"/>
      <c r="AFM139" s="68"/>
      <c r="AFN139" s="68"/>
      <c r="AFO139" s="68"/>
      <c r="AFP139" s="68"/>
      <c r="AFQ139" s="68"/>
      <c r="AFR139" s="68"/>
      <c r="AFS139" s="68"/>
      <c r="AFT139" s="68"/>
      <c r="AFU139" s="68"/>
      <c r="AFV139" s="68"/>
      <c r="AFW139" s="68"/>
      <c r="AFX139" s="68"/>
      <c r="AFY139" s="68"/>
      <c r="AFZ139" s="68"/>
      <c r="AGA139" s="68"/>
      <c r="AGB139" s="68"/>
      <c r="AGC139" s="68"/>
      <c r="AGD139" s="68"/>
      <c r="AGE139" s="68"/>
      <c r="AGF139" s="68"/>
      <c r="AGG139" s="68"/>
      <c r="AGH139" s="68"/>
      <c r="AGI139" s="68"/>
      <c r="AGJ139" s="68"/>
      <c r="AGK139" s="68"/>
      <c r="AGL139" s="68"/>
      <c r="AGM139" s="68"/>
      <c r="AGN139" s="68"/>
      <c r="AGO139" s="68"/>
      <c r="AGP139" s="68"/>
      <c r="AGQ139" s="68"/>
      <c r="AGR139" s="68"/>
      <c r="AGS139" s="68"/>
      <c r="AGT139" s="68"/>
      <c r="AGU139" s="68"/>
      <c r="AGV139" s="68"/>
      <c r="AGW139" s="68"/>
      <c r="AGX139" s="68"/>
      <c r="AGY139" s="68"/>
      <c r="AGZ139" s="68"/>
      <c r="AHA139" s="68"/>
      <c r="AHB139" s="68"/>
      <c r="AHC139" s="68"/>
      <c r="AHD139" s="68"/>
      <c r="AHE139" s="68"/>
      <c r="AHF139" s="68"/>
      <c r="AHG139" s="68"/>
      <c r="AHH139" s="68"/>
      <c r="AHI139" s="68"/>
      <c r="AHJ139" s="68"/>
      <c r="AHK139" s="68"/>
      <c r="AHL139" s="68"/>
      <c r="AHM139" s="68"/>
      <c r="AHN139" s="68"/>
      <c r="AHO139" s="68"/>
      <c r="AHP139" s="68"/>
      <c r="AHQ139" s="68"/>
      <c r="AHR139" s="68"/>
      <c r="AHS139" s="68"/>
      <c r="AHT139" s="68"/>
      <c r="AHU139" s="68"/>
      <c r="AHV139" s="68"/>
      <c r="AHW139" s="68"/>
      <c r="AHX139" s="68"/>
      <c r="AHY139" s="68"/>
      <c r="AHZ139" s="68"/>
      <c r="AIA139" s="68"/>
      <c r="AIB139" s="68"/>
      <c r="AIC139" s="68"/>
      <c r="AID139" s="68"/>
      <c r="AIE139" s="68"/>
      <c r="AIF139" s="68"/>
      <c r="AIG139" s="68"/>
      <c r="AIH139" s="68"/>
      <c r="AII139" s="68"/>
      <c r="AIJ139" s="68"/>
      <c r="AIK139" s="68"/>
      <c r="AIL139" s="68"/>
      <c r="AIM139" s="68"/>
      <c r="AIN139" s="68"/>
      <c r="AIO139" s="68"/>
      <c r="AIP139" s="68"/>
      <c r="AIQ139" s="68"/>
      <c r="AIR139" s="68"/>
      <c r="AIS139" s="68"/>
      <c r="AIT139" s="68"/>
      <c r="AIU139" s="68"/>
      <c r="AIV139" s="68"/>
      <c r="AIW139" s="68"/>
      <c r="AIX139" s="68"/>
      <c r="AIY139" s="68"/>
      <c r="AIZ139" s="68"/>
      <c r="AJA139" s="68"/>
      <c r="AJB139" s="68"/>
      <c r="AJC139" s="68"/>
    </row>
    <row r="140" spans="1:939" s="85" customFormat="1" ht="27" customHeight="1" x14ac:dyDescent="0.25">
      <c r="A140" s="433"/>
      <c r="B140" s="434"/>
      <c r="C140" s="434"/>
      <c r="D140" s="466" t="s">
        <v>51</v>
      </c>
      <c r="E140" s="467"/>
      <c r="F140" s="467"/>
      <c r="G140" s="467"/>
      <c r="H140" s="467"/>
      <c r="I140" s="467"/>
      <c r="J140" s="467"/>
      <c r="K140" s="467"/>
      <c r="L140" s="468"/>
      <c r="M140" s="86"/>
      <c r="N140" s="87">
        <f>SUMIF($M$114:$M$138,D140,$N$114:$N$138)</f>
        <v>78996968456</v>
      </c>
      <c r="O140" s="87"/>
      <c r="P140" s="88">
        <f>SUMIF($M$114:$M$138,D140,$P$114:$P$138)</f>
        <v>78996968456</v>
      </c>
      <c r="Q140" s="88"/>
      <c r="R140" s="88">
        <f>SUMIF($M$114:$M$138,D140,$R$114:$R$138)</f>
        <v>15645482344.1</v>
      </c>
      <c r="S140" s="88">
        <f>SUMIF($M$114:$M$138,D140,$S$114:$S$138)</f>
        <v>6671656479.7999992</v>
      </c>
      <c r="T140" s="87">
        <f>SUMIF($M$114:$M$138,D140,$T$114:$T$138)</f>
        <v>63352482911.099998</v>
      </c>
      <c r="U140" s="87"/>
      <c r="V140" s="89"/>
      <c r="W140" s="90"/>
      <c r="X140" s="47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  <c r="BQ140" s="68"/>
      <c r="BR140" s="68"/>
      <c r="BS140" s="68"/>
      <c r="BT140" s="68"/>
      <c r="BU140" s="68"/>
      <c r="BV140" s="68"/>
      <c r="BW140" s="68"/>
      <c r="BX140" s="68"/>
      <c r="BY140" s="68"/>
      <c r="BZ140" s="68"/>
      <c r="CA140" s="68"/>
      <c r="CB140" s="68"/>
      <c r="CC140" s="68"/>
      <c r="CD140" s="68"/>
      <c r="CE140" s="68"/>
      <c r="CF140" s="68"/>
      <c r="CG140" s="68"/>
      <c r="CH140" s="68"/>
      <c r="CI140" s="68"/>
      <c r="CJ140" s="68"/>
      <c r="CK140" s="68"/>
      <c r="CL140" s="68"/>
      <c r="CM140" s="68"/>
      <c r="CN140" s="68"/>
      <c r="CO140" s="68"/>
      <c r="CP140" s="68"/>
      <c r="CQ140" s="68"/>
      <c r="CR140" s="68"/>
      <c r="CS140" s="68"/>
      <c r="CT140" s="68"/>
      <c r="CU140" s="68"/>
      <c r="CV140" s="68"/>
      <c r="CW140" s="68"/>
      <c r="CX140" s="68"/>
      <c r="CY140" s="68"/>
      <c r="CZ140" s="68"/>
      <c r="DA140" s="68"/>
      <c r="DB140" s="68"/>
      <c r="DC140" s="68"/>
      <c r="DD140" s="68"/>
      <c r="DE140" s="68"/>
      <c r="DF140" s="68"/>
      <c r="DG140" s="68"/>
      <c r="DH140" s="68"/>
      <c r="DI140" s="68"/>
      <c r="DJ140" s="68"/>
      <c r="DK140" s="68"/>
      <c r="DL140" s="68"/>
      <c r="DM140" s="68"/>
      <c r="DN140" s="68"/>
      <c r="DO140" s="68"/>
      <c r="DP140" s="68"/>
      <c r="DQ140" s="68"/>
      <c r="DR140" s="68"/>
      <c r="DS140" s="68"/>
      <c r="DT140" s="68"/>
      <c r="DU140" s="68"/>
      <c r="DV140" s="68"/>
      <c r="DW140" s="68"/>
      <c r="DX140" s="68"/>
      <c r="DY140" s="68"/>
      <c r="DZ140" s="68"/>
      <c r="EA140" s="68"/>
      <c r="EB140" s="68"/>
      <c r="EC140" s="68"/>
      <c r="ED140" s="68"/>
      <c r="EE140" s="68"/>
      <c r="EF140" s="68"/>
      <c r="EG140" s="68"/>
      <c r="EH140" s="68"/>
      <c r="EI140" s="68"/>
      <c r="EJ140" s="68"/>
      <c r="EK140" s="68"/>
      <c r="EL140" s="68"/>
      <c r="EM140" s="68"/>
      <c r="EN140" s="68"/>
      <c r="EO140" s="68"/>
      <c r="EP140" s="68"/>
      <c r="EQ140" s="68"/>
      <c r="ER140" s="68"/>
      <c r="ES140" s="68"/>
      <c r="ET140" s="68"/>
      <c r="EU140" s="68"/>
      <c r="EV140" s="68"/>
      <c r="EW140" s="68"/>
      <c r="EX140" s="68"/>
      <c r="EY140" s="68"/>
      <c r="EZ140" s="68"/>
      <c r="FA140" s="68"/>
      <c r="FB140" s="68"/>
      <c r="FC140" s="68"/>
      <c r="FD140" s="68"/>
      <c r="FE140" s="68"/>
      <c r="FF140" s="68"/>
      <c r="FG140" s="68"/>
      <c r="FH140" s="68"/>
      <c r="FI140" s="68"/>
      <c r="FJ140" s="68"/>
      <c r="FK140" s="68"/>
      <c r="FL140" s="68"/>
      <c r="FM140" s="68"/>
      <c r="FN140" s="68"/>
      <c r="FO140" s="68"/>
      <c r="FP140" s="68"/>
      <c r="FQ140" s="68"/>
      <c r="FR140" s="68"/>
      <c r="FS140" s="68"/>
      <c r="FT140" s="68"/>
      <c r="FU140" s="68"/>
      <c r="FV140" s="68"/>
      <c r="FW140" s="68"/>
      <c r="FX140" s="68"/>
      <c r="FY140" s="68"/>
      <c r="FZ140" s="68"/>
      <c r="GA140" s="68"/>
      <c r="GB140" s="68"/>
      <c r="GC140" s="68"/>
      <c r="GD140" s="68"/>
      <c r="GE140" s="68"/>
      <c r="GF140" s="68"/>
      <c r="GG140" s="68"/>
      <c r="GH140" s="68"/>
      <c r="GI140" s="68"/>
      <c r="GJ140" s="68"/>
      <c r="GK140" s="68"/>
      <c r="GL140" s="68"/>
      <c r="GM140" s="68"/>
      <c r="GN140" s="68"/>
      <c r="GO140" s="68"/>
      <c r="GP140" s="68"/>
      <c r="GQ140" s="68"/>
      <c r="GR140" s="68"/>
      <c r="GS140" s="68"/>
      <c r="GT140" s="68"/>
      <c r="GU140" s="68"/>
      <c r="GV140" s="68"/>
      <c r="GW140" s="68"/>
      <c r="GX140" s="68"/>
      <c r="GY140" s="68"/>
      <c r="GZ140" s="68"/>
      <c r="HA140" s="68"/>
      <c r="HB140" s="68"/>
      <c r="HC140" s="68"/>
      <c r="HD140" s="68"/>
      <c r="HE140" s="68"/>
      <c r="HF140" s="68"/>
      <c r="HG140" s="68"/>
      <c r="HH140" s="68"/>
      <c r="HI140" s="68"/>
      <c r="HJ140" s="68"/>
      <c r="HK140" s="68"/>
      <c r="HL140" s="68"/>
      <c r="HM140" s="68"/>
      <c r="HN140" s="68"/>
      <c r="HO140" s="68"/>
      <c r="HP140" s="68"/>
      <c r="HQ140" s="68"/>
      <c r="HR140" s="68"/>
      <c r="HS140" s="68"/>
      <c r="HT140" s="68"/>
      <c r="HU140" s="68"/>
      <c r="HV140" s="68"/>
      <c r="HW140" s="68"/>
      <c r="HX140" s="68"/>
      <c r="HY140" s="68"/>
      <c r="HZ140" s="68"/>
      <c r="IA140" s="68"/>
      <c r="IB140" s="68"/>
      <c r="IC140" s="68"/>
      <c r="ID140" s="68"/>
      <c r="IE140" s="68"/>
      <c r="IF140" s="68"/>
      <c r="IG140" s="68"/>
      <c r="IH140" s="68"/>
      <c r="II140" s="68"/>
      <c r="IJ140" s="68"/>
      <c r="IK140" s="68"/>
      <c r="IL140" s="68"/>
      <c r="IM140" s="68"/>
      <c r="IN140" s="68"/>
      <c r="IO140" s="68"/>
      <c r="IP140" s="68"/>
      <c r="IQ140" s="68"/>
      <c r="IR140" s="68"/>
      <c r="IS140" s="68"/>
      <c r="IT140" s="68"/>
      <c r="IU140" s="68"/>
      <c r="IV140" s="68"/>
      <c r="IW140" s="68"/>
      <c r="IX140" s="68"/>
      <c r="IY140" s="68"/>
      <c r="IZ140" s="68"/>
      <c r="JA140" s="68"/>
      <c r="JB140" s="68"/>
      <c r="JC140" s="68"/>
      <c r="JD140" s="68"/>
      <c r="JE140" s="68"/>
      <c r="JF140" s="68"/>
      <c r="JG140" s="68"/>
      <c r="JH140" s="68"/>
      <c r="JI140" s="68"/>
      <c r="JJ140" s="68"/>
      <c r="JK140" s="68"/>
      <c r="JL140" s="68"/>
      <c r="JM140" s="68"/>
      <c r="JN140" s="68"/>
      <c r="JO140" s="68"/>
      <c r="JP140" s="68"/>
      <c r="JQ140" s="68"/>
      <c r="JR140" s="68"/>
      <c r="JS140" s="68"/>
      <c r="JT140" s="68"/>
      <c r="JU140" s="68"/>
      <c r="JV140" s="68"/>
      <c r="JW140" s="68"/>
      <c r="JX140" s="68"/>
      <c r="JY140" s="68"/>
      <c r="JZ140" s="68"/>
      <c r="KA140" s="68"/>
      <c r="KB140" s="68"/>
      <c r="KC140" s="68"/>
      <c r="KD140" s="68"/>
      <c r="KE140" s="68"/>
      <c r="KF140" s="68"/>
      <c r="KG140" s="68"/>
      <c r="KH140" s="68"/>
      <c r="KI140" s="68"/>
      <c r="KJ140" s="68"/>
      <c r="KK140" s="68"/>
      <c r="KL140" s="68"/>
      <c r="KM140" s="68"/>
      <c r="KN140" s="68"/>
      <c r="KO140" s="68"/>
      <c r="KP140" s="68"/>
      <c r="KQ140" s="68"/>
      <c r="KR140" s="68"/>
      <c r="KS140" s="68"/>
      <c r="KT140" s="68"/>
      <c r="KU140" s="68"/>
      <c r="KV140" s="68"/>
      <c r="KW140" s="68"/>
      <c r="KX140" s="68"/>
      <c r="KY140" s="68"/>
      <c r="KZ140" s="68"/>
      <c r="LA140" s="68"/>
      <c r="LB140" s="68"/>
      <c r="LC140" s="68"/>
      <c r="LD140" s="68"/>
      <c r="LE140" s="68"/>
      <c r="LF140" s="68"/>
      <c r="LG140" s="68"/>
      <c r="LH140" s="68"/>
      <c r="LI140" s="68"/>
      <c r="LJ140" s="68"/>
      <c r="LK140" s="68"/>
      <c r="LL140" s="68"/>
      <c r="LM140" s="68"/>
      <c r="LN140" s="68"/>
      <c r="LO140" s="68"/>
      <c r="LP140" s="68"/>
      <c r="LQ140" s="68"/>
      <c r="LR140" s="68"/>
      <c r="LS140" s="68"/>
      <c r="LT140" s="68"/>
      <c r="LU140" s="68"/>
      <c r="LV140" s="68"/>
      <c r="LW140" s="68"/>
      <c r="LX140" s="68"/>
      <c r="LY140" s="68"/>
      <c r="LZ140" s="68"/>
      <c r="MA140" s="68"/>
      <c r="MB140" s="68"/>
      <c r="MC140" s="68"/>
      <c r="MD140" s="68"/>
      <c r="ME140" s="68"/>
      <c r="MF140" s="68"/>
      <c r="MG140" s="68"/>
      <c r="MH140" s="68"/>
      <c r="MI140" s="68"/>
      <c r="MJ140" s="68"/>
      <c r="MK140" s="68"/>
      <c r="ML140" s="68"/>
      <c r="MM140" s="68"/>
      <c r="MN140" s="68"/>
      <c r="MO140" s="68"/>
      <c r="MP140" s="68"/>
      <c r="MQ140" s="68"/>
      <c r="MR140" s="68"/>
      <c r="MS140" s="68"/>
      <c r="MT140" s="68"/>
      <c r="MU140" s="68"/>
      <c r="MV140" s="68"/>
      <c r="MW140" s="68"/>
      <c r="MX140" s="68"/>
      <c r="MY140" s="68"/>
      <c r="MZ140" s="68"/>
      <c r="NA140" s="68"/>
      <c r="NB140" s="68"/>
      <c r="NC140" s="68"/>
      <c r="ND140" s="68"/>
      <c r="NE140" s="68"/>
      <c r="NF140" s="68"/>
      <c r="NG140" s="68"/>
      <c r="NH140" s="68"/>
      <c r="NI140" s="68"/>
      <c r="NJ140" s="68"/>
      <c r="NK140" s="68"/>
      <c r="NL140" s="68"/>
      <c r="NM140" s="68"/>
      <c r="NN140" s="68"/>
      <c r="NO140" s="68"/>
      <c r="NP140" s="68"/>
      <c r="NQ140" s="68"/>
      <c r="NR140" s="68"/>
      <c r="NS140" s="68"/>
      <c r="NT140" s="68"/>
      <c r="NU140" s="68"/>
      <c r="NV140" s="68"/>
      <c r="NW140" s="68"/>
      <c r="NX140" s="68"/>
      <c r="NY140" s="68"/>
      <c r="NZ140" s="68"/>
      <c r="OA140" s="68"/>
      <c r="OB140" s="68"/>
      <c r="OC140" s="68"/>
      <c r="OD140" s="68"/>
      <c r="OE140" s="68"/>
      <c r="OF140" s="68"/>
      <c r="OG140" s="68"/>
      <c r="OH140" s="68"/>
      <c r="OI140" s="68"/>
      <c r="OJ140" s="68"/>
      <c r="OK140" s="68"/>
      <c r="OL140" s="68"/>
      <c r="OM140" s="68"/>
      <c r="ON140" s="68"/>
      <c r="OO140" s="68"/>
      <c r="OP140" s="68"/>
      <c r="OQ140" s="68"/>
      <c r="OR140" s="68"/>
      <c r="OS140" s="68"/>
      <c r="OT140" s="68"/>
      <c r="OU140" s="68"/>
      <c r="OV140" s="68"/>
      <c r="OW140" s="68"/>
      <c r="OX140" s="68"/>
      <c r="OY140" s="68"/>
      <c r="OZ140" s="68"/>
      <c r="PA140" s="68"/>
      <c r="PB140" s="68"/>
      <c r="PC140" s="68"/>
      <c r="PD140" s="68"/>
      <c r="PE140" s="68"/>
      <c r="PF140" s="68"/>
      <c r="PG140" s="68"/>
      <c r="PH140" s="68"/>
      <c r="PI140" s="68"/>
      <c r="PJ140" s="68"/>
      <c r="PK140" s="68"/>
      <c r="PL140" s="68"/>
      <c r="PM140" s="68"/>
      <c r="PN140" s="68"/>
      <c r="PO140" s="68"/>
      <c r="PP140" s="68"/>
      <c r="PQ140" s="68"/>
      <c r="PR140" s="68"/>
      <c r="PS140" s="68"/>
      <c r="PT140" s="68"/>
      <c r="PU140" s="68"/>
      <c r="PV140" s="68"/>
      <c r="PW140" s="68"/>
      <c r="PX140" s="68"/>
      <c r="PY140" s="68"/>
      <c r="PZ140" s="68"/>
      <c r="QA140" s="68"/>
      <c r="QB140" s="68"/>
      <c r="QC140" s="68"/>
      <c r="QD140" s="68"/>
      <c r="QE140" s="68"/>
      <c r="QF140" s="68"/>
      <c r="QG140" s="68"/>
      <c r="QH140" s="68"/>
      <c r="QI140" s="68"/>
      <c r="QJ140" s="68"/>
      <c r="QK140" s="68"/>
      <c r="QL140" s="68"/>
      <c r="QM140" s="68"/>
      <c r="QN140" s="68"/>
      <c r="QO140" s="68"/>
      <c r="QP140" s="68"/>
      <c r="QQ140" s="68"/>
      <c r="QR140" s="68"/>
      <c r="QS140" s="68"/>
      <c r="QT140" s="68"/>
      <c r="QU140" s="68"/>
      <c r="QV140" s="68"/>
      <c r="QW140" s="68"/>
      <c r="QX140" s="68"/>
      <c r="QY140" s="68"/>
      <c r="QZ140" s="68"/>
      <c r="RA140" s="68"/>
      <c r="RB140" s="68"/>
      <c r="RC140" s="68"/>
      <c r="RD140" s="68"/>
      <c r="RE140" s="68"/>
      <c r="RF140" s="68"/>
      <c r="RG140" s="68"/>
      <c r="RH140" s="68"/>
      <c r="RI140" s="68"/>
      <c r="RJ140" s="68"/>
      <c r="RK140" s="68"/>
      <c r="RL140" s="68"/>
      <c r="RM140" s="68"/>
      <c r="RN140" s="68"/>
      <c r="RO140" s="68"/>
      <c r="RP140" s="68"/>
      <c r="RQ140" s="68"/>
      <c r="RR140" s="68"/>
      <c r="RS140" s="68"/>
      <c r="RT140" s="68"/>
      <c r="RU140" s="68"/>
      <c r="RV140" s="68"/>
      <c r="RW140" s="68"/>
      <c r="RX140" s="68"/>
      <c r="RY140" s="68"/>
      <c r="RZ140" s="68"/>
      <c r="SA140" s="68"/>
      <c r="SB140" s="68"/>
      <c r="SC140" s="68"/>
      <c r="SD140" s="68"/>
      <c r="SE140" s="68"/>
      <c r="SF140" s="68"/>
      <c r="SG140" s="68"/>
      <c r="SH140" s="68"/>
      <c r="SI140" s="68"/>
      <c r="SJ140" s="68"/>
      <c r="SK140" s="68"/>
      <c r="SL140" s="68"/>
      <c r="SM140" s="68"/>
      <c r="SN140" s="68"/>
      <c r="SO140" s="68"/>
      <c r="SP140" s="68"/>
      <c r="SQ140" s="68"/>
      <c r="SR140" s="68"/>
      <c r="SS140" s="68"/>
      <c r="ST140" s="68"/>
      <c r="SU140" s="68"/>
      <c r="SV140" s="68"/>
      <c r="SW140" s="68"/>
      <c r="SX140" s="68"/>
      <c r="SY140" s="68"/>
      <c r="SZ140" s="68"/>
      <c r="TA140" s="68"/>
      <c r="TB140" s="68"/>
      <c r="TC140" s="68"/>
      <c r="TD140" s="68"/>
      <c r="TE140" s="68"/>
      <c r="TF140" s="68"/>
      <c r="TG140" s="68"/>
      <c r="TH140" s="68"/>
      <c r="TI140" s="68"/>
      <c r="TJ140" s="68"/>
      <c r="TK140" s="68"/>
      <c r="TL140" s="68"/>
      <c r="TM140" s="68"/>
      <c r="TN140" s="68"/>
      <c r="TO140" s="68"/>
      <c r="TP140" s="68"/>
      <c r="TQ140" s="68"/>
      <c r="TR140" s="68"/>
      <c r="TS140" s="68"/>
      <c r="TT140" s="68"/>
      <c r="TU140" s="68"/>
      <c r="TV140" s="68"/>
      <c r="TW140" s="68"/>
      <c r="TX140" s="68"/>
      <c r="TY140" s="68"/>
      <c r="TZ140" s="68"/>
      <c r="UA140" s="68"/>
      <c r="UB140" s="68"/>
      <c r="UC140" s="68"/>
      <c r="UD140" s="68"/>
      <c r="UE140" s="68"/>
      <c r="UF140" s="68"/>
      <c r="UG140" s="68"/>
      <c r="UH140" s="68"/>
      <c r="UI140" s="68"/>
      <c r="UJ140" s="68"/>
      <c r="UK140" s="68"/>
      <c r="UL140" s="68"/>
      <c r="UM140" s="68"/>
      <c r="UN140" s="68"/>
      <c r="UO140" s="68"/>
      <c r="UP140" s="68"/>
      <c r="UQ140" s="68"/>
      <c r="UR140" s="68"/>
      <c r="US140" s="68"/>
      <c r="UT140" s="68"/>
      <c r="UU140" s="68"/>
      <c r="UV140" s="68"/>
      <c r="UW140" s="68"/>
      <c r="UX140" s="68"/>
      <c r="UY140" s="68"/>
      <c r="UZ140" s="68"/>
      <c r="VA140" s="68"/>
      <c r="VB140" s="68"/>
      <c r="VC140" s="68"/>
      <c r="VD140" s="68"/>
      <c r="VE140" s="68"/>
      <c r="VF140" s="68"/>
      <c r="VG140" s="68"/>
      <c r="VH140" s="68"/>
      <c r="VI140" s="68"/>
      <c r="VJ140" s="68"/>
      <c r="VK140" s="68"/>
      <c r="VL140" s="68"/>
      <c r="VM140" s="68"/>
      <c r="VN140" s="68"/>
      <c r="VO140" s="68"/>
      <c r="VP140" s="68"/>
      <c r="VQ140" s="68"/>
      <c r="VR140" s="68"/>
      <c r="VS140" s="68"/>
      <c r="VT140" s="68"/>
      <c r="VU140" s="68"/>
      <c r="VV140" s="68"/>
      <c r="VW140" s="68"/>
      <c r="VX140" s="68"/>
      <c r="VY140" s="68"/>
      <c r="VZ140" s="68"/>
      <c r="WA140" s="68"/>
      <c r="WB140" s="68"/>
      <c r="WC140" s="68"/>
      <c r="WD140" s="68"/>
      <c r="WE140" s="68"/>
      <c r="WF140" s="68"/>
      <c r="WG140" s="68"/>
      <c r="WH140" s="68"/>
      <c r="WI140" s="68"/>
      <c r="WJ140" s="68"/>
      <c r="WK140" s="68"/>
      <c r="WL140" s="68"/>
      <c r="WM140" s="68"/>
      <c r="WN140" s="68"/>
      <c r="WO140" s="68"/>
      <c r="WP140" s="68"/>
      <c r="WQ140" s="68"/>
      <c r="WR140" s="68"/>
      <c r="WS140" s="68"/>
      <c r="WT140" s="68"/>
      <c r="WU140" s="68"/>
      <c r="WV140" s="68"/>
      <c r="WW140" s="68"/>
      <c r="WX140" s="68"/>
      <c r="WY140" s="68"/>
      <c r="WZ140" s="68"/>
      <c r="XA140" s="68"/>
      <c r="XB140" s="68"/>
      <c r="XC140" s="68"/>
      <c r="XD140" s="68"/>
      <c r="XE140" s="68"/>
      <c r="XF140" s="68"/>
      <c r="XG140" s="68"/>
      <c r="XH140" s="68"/>
      <c r="XI140" s="68"/>
      <c r="XJ140" s="68"/>
      <c r="XK140" s="68"/>
      <c r="XL140" s="68"/>
      <c r="XM140" s="68"/>
      <c r="XN140" s="68"/>
      <c r="XO140" s="68"/>
      <c r="XP140" s="68"/>
      <c r="XQ140" s="68"/>
      <c r="XR140" s="68"/>
      <c r="XS140" s="68"/>
      <c r="XT140" s="68"/>
      <c r="XU140" s="68"/>
      <c r="XV140" s="68"/>
      <c r="XW140" s="68"/>
      <c r="XX140" s="68"/>
      <c r="XY140" s="68"/>
      <c r="XZ140" s="68"/>
      <c r="YA140" s="68"/>
      <c r="YB140" s="68"/>
      <c r="YC140" s="68"/>
      <c r="YD140" s="68"/>
      <c r="YE140" s="68"/>
      <c r="YF140" s="68"/>
      <c r="YG140" s="68"/>
      <c r="YH140" s="68"/>
      <c r="YI140" s="68"/>
      <c r="YJ140" s="68"/>
      <c r="YK140" s="68"/>
      <c r="YL140" s="68"/>
      <c r="YM140" s="68"/>
      <c r="YN140" s="68"/>
      <c r="YO140" s="68"/>
      <c r="YP140" s="68"/>
      <c r="YQ140" s="68"/>
      <c r="YR140" s="68"/>
      <c r="YS140" s="68"/>
      <c r="YT140" s="68"/>
      <c r="YU140" s="68"/>
      <c r="YV140" s="68"/>
      <c r="YW140" s="68"/>
      <c r="YX140" s="68"/>
      <c r="YY140" s="68"/>
      <c r="YZ140" s="68"/>
      <c r="ZA140" s="68"/>
      <c r="ZB140" s="68"/>
      <c r="ZC140" s="68"/>
      <c r="ZD140" s="68"/>
      <c r="ZE140" s="68"/>
      <c r="ZF140" s="68"/>
      <c r="ZG140" s="68"/>
      <c r="ZH140" s="68"/>
      <c r="ZI140" s="68"/>
      <c r="ZJ140" s="68"/>
      <c r="ZK140" s="68"/>
      <c r="ZL140" s="68"/>
      <c r="ZM140" s="68"/>
      <c r="ZN140" s="68"/>
      <c r="ZO140" s="68"/>
      <c r="ZP140" s="68"/>
      <c r="ZQ140" s="68"/>
      <c r="ZR140" s="68"/>
      <c r="ZS140" s="68"/>
      <c r="ZT140" s="68"/>
      <c r="ZU140" s="68"/>
      <c r="ZV140" s="68"/>
      <c r="ZW140" s="68"/>
      <c r="ZX140" s="68"/>
      <c r="ZY140" s="68"/>
      <c r="ZZ140" s="68"/>
      <c r="AAA140" s="68"/>
      <c r="AAB140" s="68"/>
      <c r="AAC140" s="68"/>
      <c r="AAD140" s="68"/>
      <c r="AAE140" s="68"/>
      <c r="AAF140" s="68"/>
      <c r="AAG140" s="68"/>
      <c r="AAH140" s="68"/>
      <c r="AAI140" s="68"/>
      <c r="AAJ140" s="68"/>
      <c r="AAK140" s="68"/>
      <c r="AAL140" s="68"/>
      <c r="AAM140" s="68"/>
      <c r="AAN140" s="68"/>
      <c r="AAO140" s="68"/>
      <c r="AAP140" s="68"/>
      <c r="AAQ140" s="68"/>
      <c r="AAR140" s="68"/>
      <c r="AAS140" s="68"/>
      <c r="AAT140" s="68"/>
      <c r="AAU140" s="68"/>
      <c r="AAV140" s="68"/>
      <c r="AAW140" s="68"/>
      <c r="AAX140" s="68"/>
      <c r="AAY140" s="68"/>
      <c r="AAZ140" s="68"/>
      <c r="ABA140" s="68"/>
      <c r="ABB140" s="68"/>
      <c r="ABC140" s="68"/>
      <c r="ABD140" s="68"/>
      <c r="ABE140" s="68"/>
      <c r="ABF140" s="68"/>
      <c r="ABG140" s="68"/>
      <c r="ABH140" s="68"/>
      <c r="ABI140" s="68"/>
      <c r="ABJ140" s="68"/>
      <c r="ABK140" s="68"/>
      <c r="ABL140" s="68"/>
      <c r="ABM140" s="68"/>
      <c r="ABN140" s="68"/>
      <c r="ABO140" s="68"/>
      <c r="ABP140" s="68"/>
      <c r="ABQ140" s="68"/>
      <c r="ABR140" s="68"/>
      <c r="ABS140" s="68"/>
      <c r="ABT140" s="68"/>
      <c r="ABU140" s="68"/>
      <c r="ABV140" s="68"/>
      <c r="ABW140" s="68"/>
      <c r="ABX140" s="68"/>
      <c r="ABY140" s="68"/>
      <c r="ABZ140" s="68"/>
      <c r="ACA140" s="68"/>
      <c r="ACB140" s="68"/>
      <c r="ACC140" s="68"/>
      <c r="ACD140" s="68"/>
      <c r="ACE140" s="68"/>
      <c r="ACF140" s="68"/>
      <c r="ACG140" s="68"/>
      <c r="ACH140" s="68"/>
      <c r="ACI140" s="68"/>
      <c r="ACJ140" s="68"/>
      <c r="ACK140" s="68"/>
      <c r="ACL140" s="68"/>
      <c r="ACM140" s="68"/>
      <c r="ACN140" s="68"/>
      <c r="ACO140" s="68"/>
      <c r="ACP140" s="68"/>
      <c r="ACQ140" s="68"/>
      <c r="ACR140" s="68"/>
      <c r="ACS140" s="68"/>
      <c r="ACT140" s="68"/>
      <c r="ACU140" s="68"/>
      <c r="ACV140" s="68"/>
      <c r="ACW140" s="68"/>
      <c r="ACX140" s="68"/>
      <c r="ACY140" s="68"/>
      <c r="ACZ140" s="68"/>
      <c r="ADA140" s="68"/>
      <c r="ADB140" s="68"/>
      <c r="ADC140" s="68"/>
      <c r="ADD140" s="68"/>
      <c r="ADE140" s="68"/>
      <c r="ADF140" s="68"/>
      <c r="ADG140" s="68"/>
      <c r="ADH140" s="68"/>
      <c r="ADI140" s="68"/>
      <c r="ADJ140" s="68"/>
      <c r="ADK140" s="68"/>
      <c r="ADL140" s="68"/>
      <c r="ADM140" s="68"/>
      <c r="ADN140" s="68"/>
      <c r="ADO140" s="68"/>
      <c r="ADP140" s="68"/>
      <c r="ADQ140" s="68"/>
      <c r="ADR140" s="68"/>
      <c r="ADS140" s="68"/>
      <c r="ADT140" s="68"/>
      <c r="ADU140" s="68"/>
      <c r="ADV140" s="68"/>
      <c r="ADW140" s="68"/>
      <c r="ADX140" s="68"/>
      <c r="ADY140" s="68"/>
      <c r="ADZ140" s="68"/>
      <c r="AEA140" s="68"/>
      <c r="AEB140" s="68"/>
      <c r="AEC140" s="68"/>
      <c r="AED140" s="68"/>
      <c r="AEE140" s="68"/>
      <c r="AEF140" s="68"/>
      <c r="AEG140" s="68"/>
      <c r="AEH140" s="68"/>
      <c r="AEI140" s="68"/>
      <c r="AEJ140" s="68"/>
      <c r="AEK140" s="68"/>
      <c r="AEL140" s="68"/>
      <c r="AEM140" s="68"/>
      <c r="AEN140" s="68"/>
      <c r="AEO140" s="68"/>
      <c r="AEP140" s="68"/>
      <c r="AEQ140" s="68"/>
      <c r="AER140" s="68"/>
      <c r="AES140" s="68"/>
      <c r="AET140" s="68"/>
      <c r="AEU140" s="68"/>
      <c r="AEV140" s="68"/>
      <c r="AEW140" s="68"/>
      <c r="AEX140" s="68"/>
      <c r="AEY140" s="68"/>
      <c r="AEZ140" s="68"/>
      <c r="AFA140" s="68"/>
      <c r="AFB140" s="68"/>
      <c r="AFC140" s="68"/>
      <c r="AFD140" s="68"/>
      <c r="AFE140" s="68"/>
      <c r="AFF140" s="68"/>
      <c r="AFG140" s="68"/>
      <c r="AFH140" s="68"/>
      <c r="AFI140" s="68"/>
      <c r="AFJ140" s="68"/>
      <c r="AFK140" s="68"/>
      <c r="AFL140" s="68"/>
      <c r="AFM140" s="68"/>
      <c r="AFN140" s="68"/>
      <c r="AFO140" s="68"/>
      <c r="AFP140" s="68"/>
      <c r="AFQ140" s="68"/>
      <c r="AFR140" s="68"/>
      <c r="AFS140" s="68"/>
      <c r="AFT140" s="68"/>
      <c r="AFU140" s="68"/>
      <c r="AFV140" s="68"/>
      <c r="AFW140" s="68"/>
      <c r="AFX140" s="68"/>
      <c r="AFY140" s="68"/>
      <c r="AFZ140" s="68"/>
      <c r="AGA140" s="68"/>
      <c r="AGB140" s="68"/>
      <c r="AGC140" s="68"/>
      <c r="AGD140" s="68"/>
      <c r="AGE140" s="68"/>
      <c r="AGF140" s="68"/>
      <c r="AGG140" s="68"/>
      <c r="AGH140" s="68"/>
      <c r="AGI140" s="68"/>
      <c r="AGJ140" s="68"/>
      <c r="AGK140" s="68"/>
      <c r="AGL140" s="68"/>
      <c r="AGM140" s="68"/>
      <c r="AGN140" s="68"/>
      <c r="AGO140" s="68"/>
      <c r="AGP140" s="68"/>
      <c r="AGQ140" s="68"/>
      <c r="AGR140" s="68"/>
      <c r="AGS140" s="68"/>
      <c r="AGT140" s="68"/>
      <c r="AGU140" s="68"/>
      <c r="AGV140" s="68"/>
      <c r="AGW140" s="68"/>
      <c r="AGX140" s="68"/>
      <c r="AGY140" s="68"/>
      <c r="AGZ140" s="68"/>
      <c r="AHA140" s="68"/>
      <c r="AHB140" s="68"/>
      <c r="AHC140" s="68"/>
      <c r="AHD140" s="68"/>
      <c r="AHE140" s="68"/>
      <c r="AHF140" s="68"/>
      <c r="AHG140" s="68"/>
      <c r="AHH140" s="68"/>
      <c r="AHI140" s="68"/>
      <c r="AHJ140" s="68"/>
      <c r="AHK140" s="68"/>
      <c r="AHL140" s="68"/>
      <c r="AHM140" s="68"/>
      <c r="AHN140" s="68"/>
      <c r="AHO140" s="68"/>
      <c r="AHP140" s="68"/>
      <c r="AHQ140" s="68"/>
      <c r="AHR140" s="68"/>
      <c r="AHS140" s="68"/>
      <c r="AHT140" s="68"/>
      <c r="AHU140" s="68"/>
      <c r="AHV140" s="68"/>
      <c r="AHW140" s="68"/>
      <c r="AHX140" s="68"/>
      <c r="AHY140" s="68"/>
      <c r="AHZ140" s="68"/>
      <c r="AIA140" s="68"/>
      <c r="AIB140" s="68"/>
      <c r="AIC140" s="68"/>
      <c r="AID140" s="68"/>
      <c r="AIE140" s="68"/>
      <c r="AIF140" s="68"/>
      <c r="AIG140" s="68"/>
      <c r="AIH140" s="68"/>
      <c r="AII140" s="68"/>
      <c r="AIJ140" s="68"/>
      <c r="AIK140" s="68"/>
      <c r="AIL140" s="68"/>
      <c r="AIM140" s="68"/>
      <c r="AIN140" s="68"/>
      <c r="AIO140" s="68"/>
      <c r="AIP140" s="68"/>
      <c r="AIQ140" s="68"/>
      <c r="AIR140" s="68"/>
      <c r="AIS140" s="68"/>
      <c r="AIT140" s="68"/>
      <c r="AIU140" s="68"/>
      <c r="AIV140" s="68"/>
      <c r="AIW140" s="68"/>
      <c r="AIX140" s="68"/>
      <c r="AIY140" s="68"/>
      <c r="AIZ140" s="68"/>
      <c r="AJA140" s="68"/>
      <c r="AJB140" s="68"/>
      <c r="AJC140" s="68"/>
    </row>
    <row r="141" spans="1:939" s="85" customFormat="1" ht="28.5" customHeight="1" x14ac:dyDescent="0.25">
      <c r="A141" s="433"/>
      <c r="B141" s="434"/>
      <c r="C141" s="434"/>
      <c r="D141" s="466" t="s">
        <v>26</v>
      </c>
      <c r="E141" s="467"/>
      <c r="F141" s="467"/>
      <c r="G141" s="467"/>
      <c r="H141" s="467"/>
      <c r="I141" s="467"/>
      <c r="J141" s="467"/>
      <c r="K141" s="467"/>
      <c r="L141" s="468"/>
      <c r="M141" s="86"/>
      <c r="N141" s="87">
        <f>SUMIF($M$114:$M$138,D141,$N$114:$N$138)</f>
        <v>0</v>
      </c>
      <c r="O141" s="87">
        <f>SUM(O114:O138)</f>
        <v>195155434.80817214</v>
      </c>
      <c r="P141" s="88">
        <f>SUMIF($M$104:$M$138,D141,$P$104:$P$138)</f>
        <v>0</v>
      </c>
      <c r="Q141" s="88"/>
      <c r="R141" s="88">
        <f>SUMIF($M$104:$M$138,D141,$R$104:$R$138)</f>
        <v>0</v>
      </c>
      <c r="S141" s="88">
        <f>SUMIF($M$104:$M$138,D141,$S$104:$S$138)</f>
        <v>0</v>
      </c>
      <c r="T141" s="87">
        <f>SUMIF($M$104:$M$138,D141,$T$104:$T$138)</f>
        <v>0</v>
      </c>
      <c r="U141" s="87">
        <f>SUM(U114:U138)</f>
        <v>156507035.52731043</v>
      </c>
      <c r="V141" s="89"/>
      <c r="W141" s="90"/>
      <c r="X141" s="47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  <c r="BQ141" s="68"/>
      <c r="BR141" s="68"/>
      <c r="BS141" s="68"/>
      <c r="BT141" s="68"/>
      <c r="BU141" s="68"/>
      <c r="BV141" s="68"/>
      <c r="BW141" s="68"/>
      <c r="BX141" s="68"/>
      <c r="BY141" s="68"/>
      <c r="BZ141" s="68"/>
      <c r="CA141" s="68"/>
      <c r="CB141" s="68"/>
      <c r="CC141" s="68"/>
      <c r="CD141" s="68"/>
      <c r="CE141" s="68"/>
      <c r="CF141" s="68"/>
      <c r="CG141" s="68"/>
      <c r="CH141" s="68"/>
      <c r="CI141" s="68"/>
      <c r="CJ141" s="68"/>
      <c r="CK141" s="68"/>
      <c r="CL141" s="68"/>
      <c r="CM141" s="68"/>
      <c r="CN141" s="68"/>
      <c r="CO141" s="68"/>
      <c r="CP141" s="68"/>
      <c r="CQ141" s="68"/>
      <c r="CR141" s="68"/>
      <c r="CS141" s="68"/>
      <c r="CT141" s="68"/>
      <c r="CU141" s="68"/>
      <c r="CV141" s="68"/>
      <c r="CW141" s="68"/>
      <c r="CX141" s="68"/>
      <c r="CY141" s="68"/>
      <c r="CZ141" s="68"/>
      <c r="DA141" s="68"/>
      <c r="DB141" s="68"/>
      <c r="DC141" s="68"/>
      <c r="DD141" s="68"/>
      <c r="DE141" s="68"/>
      <c r="DF141" s="68"/>
      <c r="DG141" s="68"/>
      <c r="DH141" s="68"/>
      <c r="DI141" s="68"/>
      <c r="DJ141" s="68"/>
      <c r="DK141" s="68"/>
      <c r="DL141" s="68"/>
      <c r="DM141" s="68"/>
      <c r="DN141" s="68"/>
      <c r="DO141" s="68"/>
      <c r="DP141" s="68"/>
      <c r="DQ141" s="68"/>
      <c r="DR141" s="68"/>
      <c r="DS141" s="68"/>
      <c r="DT141" s="68"/>
      <c r="DU141" s="68"/>
      <c r="DV141" s="68"/>
      <c r="DW141" s="68"/>
      <c r="DX141" s="68"/>
      <c r="DY141" s="68"/>
      <c r="DZ141" s="68"/>
      <c r="EA141" s="68"/>
      <c r="EB141" s="68"/>
      <c r="EC141" s="68"/>
      <c r="ED141" s="68"/>
      <c r="EE141" s="68"/>
      <c r="EF141" s="68"/>
      <c r="EG141" s="68"/>
      <c r="EH141" s="68"/>
      <c r="EI141" s="68"/>
      <c r="EJ141" s="68"/>
      <c r="EK141" s="68"/>
      <c r="EL141" s="68"/>
      <c r="EM141" s="68"/>
      <c r="EN141" s="68"/>
      <c r="EO141" s="68"/>
      <c r="EP141" s="68"/>
      <c r="EQ141" s="68"/>
      <c r="ER141" s="68"/>
      <c r="ES141" s="68"/>
      <c r="ET141" s="68"/>
      <c r="EU141" s="68"/>
      <c r="EV141" s="68"/>
      <c r="EW141" s="68"/>
      <c r="EX141" s="68"/>
      <c r="EY141" s="68"/>
      <c r="EZ141" s="68"/>
      <c r="FA141" s="68"/>
      <c r="FB141" s="68"/>
      <c r="FC141" s="68"/>
      <c r="FD141" s="68"/>
      <c r="FE141" s="68"/>
      <c r="FF141" s="68"/>
      <c r="FG141" s="68"/>
      <c r="FH141" s="68"/>
      <c r="FI141" s="68"/>
      <c r="FJ141" s="68"/>
      <c r="FK141" s="68"/>
      <c r="FL141" s="68"/>
      <c r="FM141" s="68"/>
      <c r="FN141" s="68"/>
      <c r="FO141" s="68"/>
      <c r="FP141" s="68"/>
      <c r="FQ141" s="68"/>
      <c r="FR141" s="68"/>
      <c r="FS141" s="68"/>
      <c r="FT141" s="68"/>
      <c r="FU141" s="68"/>
      <c r="FV141" s="68"/>
      <c r="FW141" s="68"/>
      <c r="FX141" s="68"/>
      <c r="FY141" s="68"/>
      <c r="FZ141" s="68"/>
      <c r="GA141" s="68"/>
      <c r="GB141" s="68"/>
      <c r="GC141" s="68"/>
      <c r="GD141" s="68"/>
      <c r="GE141" s="68"/>
      <c r="GF141" s="68"/>
      <c r="GG141" s="68"/>
      <c r="GH141" s="68"/>
      <c r="GI141" s="68"/>
      <c r="GJ141" s="68"/>
      <c r="GK141" s="68"/>
      <c r="GL141" s="68"/>
      <c r="GM141" s="68"/>
      <c r="GN141" s="68"/>
      <c r="GO141" s="68"/>
      <c r="GP141" s="68"/>
      <c r="GQ141" s="68"/>
      <c r="GR141" s="68"/>
      <c r="GS141" s="68"/>
      <c r="GT141" s="68"/>
      <c r="GU141" s="68"/>
      <c r="GV141" s="68"/>
      <c r="GW141" s="68"/>
      <c r="GX141" s="68"/>
      <c r="GY141" s="68"/>
      <c r="GZ141" s="68"/>
      <c r="HA141" s="68"/>
      <c r="HB141" s="68"/>
      <c r="HC141" s="68"/>
      <c r="HD141" s="68"/>
      <c r="HE141" s="68"/>
      <c r="HF141" s="68"/>
      <c r="HG141" s="68"/>
      <c r="HH141" s="68"/>
      <c r="HI141" s="68"/>
      <c r="HJ141" s="68"/>
      <c r="HK141" s="68"/>
      <c r="HL141" s="68"/>
      <c r="HM141" s="68"/>
      <c r="HN141" s="68"/>
      <c r="HO141" s="68"/>
      <c r="HP141" s="68"/>
      <c r="HQ141" s="68"/>
      <c r="HR141" s="68"/>
      <c r="HS141" s="68"/>
      <c r="HT141" s="68"/>
      <c r="HU141" s="68"/>
      <c r="HV141" s="68"/>
      <c r="HW141" s="68"/>
      <c r="HX141" s="68"/>
      <c r="HY141" s="68"/>
      <c r="HZ141" s="68"/>
      <c r="IA141" s="68"/>
      <c r="IB141" s="68"/>
      <c r="IC141" s="68"/>
      <c r="ID141" s="68"/>
      <c r="IE141" s="68"/>
      <c r="IF141" s="68"/>
      <c r="IG141" s="68"/>
      <c r="IH141" s="68"/>
      <c r="II141" s="68"/>
      <c r="IJ141" s="68"/>
      <c r="IK141" s="68"/>
      <c r="IL141" s="68"/>
      <c r="IM141" s="68"/>
      <c r="IN141" s="68"/>
      <c r="IO141" s="68"/>
      <c r="IP141" s="68"/>
      <c r="IQ141" s="68"/>
      <c r="IR141" s="68"/>
      <c r="IS141" s="68"/>
      <c r="IT141" s="68"/>
      <c r="IU141" s="68"/>
      <c r="IV141" s="68"/>
      <c r="IW141" s="68"/>
      <c r="IX141" s="68"/>
      <c r="IY141" s="68"/>
      <c r="IZ141" s="68"/>
      <c r="JA141" s="68"/>
      <c r="JB141" s="68"/>
      <c r="JC141" s="68"/>
      <c r="JD141" s="68"/>
      <c r="JE141" s="68"/>
      <c r="JF141" s="68"/>
      <c r="JG141" s="68"/>
      <c r="JH141" s="68"/>
      <c r="JI141" s="68"/>
      <c r="JJ141" s="68"/>
      <c r="JK141" s="68"/>
      <c r="JL141" s="68"/>
      <c r="JM141" s="68"/>
      <c r="JN141" s="68"/>
      <c r="JO141" s="68"/>
      <c r="JP141" s="68"/>
      <c r="JQ141" s="68"/>
      <c r="JR141" s="68"/>
      <c r="JS141" s="68"/>
      <c r="JT141" s="68"/>
      <c r="JU141" s="68"/>
      <c r="JV141" s="68"/>
      <c r="JW141" s="68"/>
      <c r="JX141" s="68"/>
      <c r="JY141" s="68"/>
      <c r="JZ141" s="68"/>
      <c r="KA141" s="68"/>
      <c r="KB141" s="68"/>
      <c r="KC141" s="68"/>
      <c r="KD141" s="68"/>
      <c r="KE141" s="68"/>
      <c r="KF141" s="68"/>
      <c r="KG141" s="68"/>
      <c r="KH141" s="68"/>
      <c r="KI141" s="68"/>
      <c r="KJ141" s="68"/>
      <c r="KK141" s="68"/>
      <c r="KL141" s="68"/>
      <c r="KM141" s="68"/>
      <c r="KN141" s="68"/>
      <c r="KO141" s="68"/>
      <c r="KP141" s="68"/>
      <c r="KQ141" s="68"/>
      <c r="KR141" s="68"/>
      <c r="KS141" s="68"/>
      <c r="KT141" s="68"/>
      <c r="KU141" s="68"/>
      <c r="KV141" s="68"/>
      <c r="KW141" s="68"/>
      <c r="KX141" s="68"/>
      <c r="KY141" s="68"/>
      <c r="KZ141" s="68"/>
      <c r="LA141" s="68"/>
      <c r="LB141" s="68"/>
      <c r="LC141" s="68"/>
      <c r="LD141" s="68"/>
      <c r="LE141" s="68"/>
      <c r="LF141" s="68"/>
      <c r="LG141" s="68"/>
      <c r="LH141" s="68"/>
      <c r="LI141" s="68"/>
      <c r="LJ141" s="68"/>
      <c r="LK141" s="68"/>
      <c r="LL141" s="68"/>
      <c r="LM141" s="68"/>
      <c r="LN141" s="68"/>
      <c r="LO141" s="68"/>
      <c r="LP141" s="68"/>
      <c r="LQ141" s="68"/>
      <c r="LR141" s="68"/>
      <c r="LS141" s="68"/>
      <c r="LT141" s="68"/>
      <c r="LU141" s="68"/>
      <c r="LV141" s="68"/>
      <c r="LW141" s="68"/>
      <c r="LX141" s="68"/>
      <c r="LY141" s="68"/>
      <c r="LZ141" s="68"/>
      <c r="MA141" s="68"/>
      <c r="MB141" s="68"/>
      <c r="MC141" s="68"/>
      <c r="MD141" s="68"/>
      <c r="ME141" s="68"/>
      <c r="MF141" s="68"/>
      <c r="MG141" s="68"/>
      <c r="MH141" s="68"/>
      <c r="MI141" s="68"/>
      <c r="MJ141" s="68"/>
      <c r="MK141" s="68"/>
      <c r="ML141" s="68"/>
      <c r="MM141" s="68"/>
      <c r="MN141" s="68"/>
      <c r="MO141" s="68"/>
      <c r="MP141" s="68"/>
      <c r="MQ141" s="68"/>
      <c r="MR141" s="68"/>
      <c r="MS141" s="68"/>
      <c r="MT141" s="68"/>
      <c r="MU141" s="68"/>
      <c r="MV141" s="68"/>
      <c r="MW141" s="68"/>
      <c r="MX141" s="68"/>
      <c r="MY141" s="68"/>
      <c r="MZ141" s="68"/>
      <c r="NA141" s="68"/>
      <c r="NB141" s="68"/>
      <c r="NC141" s="68"/>
      <c r="ND141" s="68"/>
      <c r="NE141" s="68"/>
      <c r="NF141" s="68"/>
      <c r="NG141" s="68"/>
      <c r="NH141" s="68"/>
      <c r="NI141" s="68"/>
      <c r="NJ141" s="68"/>
      <c r="NK141" s="68"/>
      <c r="NL141" s="68"/>
      <c r="NM141" s="68"/>
      <c r="NN141" s="68"/>
      <c r="NO141" s="68"/>
      <c r="NP141" s="68"/>
      <c r="NQ141" s="68"/>
      <c r="NR141" s="68"/>
      <c r="NS141" s="68"/>
      <c r="NT141" s="68"/>
      <c r="NU141" s="68"/>
      <c r="NV141" s="68"/>
      <c r="NW141" s="68"/>
      <c r="NX141" s="68"/>
      <c r="NY141" s="68"/>
      <c r="NZ141" s="68"/>
      <c r="OA141" s="68"/>
      <c r="OB141" s="68"/>
      <c r="OC141" s="68"/>
      <c r="OD141" s="68"/>
      <c r="OE141" s="68"/>
      <c r="OF141" s="68"/>
      <c r="OG141" s="68"/>
      <c r="OH141" s="68"/>
      <c r="OI141" s="68"/>
      <c r="OJ141" s="68"/>
      <c r="OK141" s="68"/>
      <c r="OL141" s="68"/>
      <c r="OM141" s="68"/>
      <c r="ON141" s="68"/>
      <c r="OO141" s="68"/>
      <c r="OP141" s="68"/>
      <c r="OQ141" s="68"/>
      <c r="OR141" s="68"/>
      <c r="OS141" s="68"/>
      <c r="OT141" s="68"/>
      <c r="OU141" s="68"/>
      <c r="OV141" s="68"/>
      <c r="OW141" s="68"/>
      <c r="OX141" s="68"/>
      <c r="OY141" s="68"/>
      <c r="OZ141" s="68"/>
      <c r="PA141" s="68"/>
      <c r="PB141" s="68"/>
      <c r="PC141" s="68"/>
      <c r="PD141" s="68"/>
      <c r="PE141" s="68"/>
      <c r="PF141" s="68"/>
      <c r="PG141" s="68"/>
      <c r="PH141" s="68"/>
      <c r="PI141" s="68"/>
      <c r="PJ141" s="68"/>
      <c r="PK141" s="68"/>
      <c r="PL141" s="68"/>
      <c r="PM141" s="68"/>
      <c r="PN141" s="68"/>
      <c r="PO141" s="68"/>
      <c r="PP141" s="68"/>
      <c r="PQ141" s="68"/>
      <c r="PR141" s="68"/>
      <c r="PS141" s="68"/>
      <c r="PT141" s="68"/>
      <c r="PU141" s="68"/>
      <c r="PV141" s="68"/>
      <c r="PW141" s="68"/>
      <c r="PX141" s="68"/>
      <c r="PY141" s="68"/>
      <c r="PZ141" s="68"/>
      <c r="QA141" s="68"/>
      <c r="QB141" s="68"/>
      <c r="QC141" s="68"/>
      <c r="QD141" s="68"/>
      <c r="QE141" s="68"/>
      <c r="QF141" s="68"/>
      <c r="QG141" s="68"/>
      <c r="QH141" s="68"/>
      <c r="QI141" s="68"/>
      <c r="QJ141" s="68"/>
      <c r="QK141" s="68"/>
      <c r="QL141" s="68"/>
      <c r="QM141" s="68"/>
      <c r="QN141" s="68"/>
      <c r="QO141" s="68"/>
      <c r="QP141" s="68"/>
      <c r="QQ141" s="68"/>
      <c r="QR141" s="68"/>
      <c r="QS141" s="68"/>
      <c r="QT141" s="68"/>
      <c r="QU141" s="68"/>
      <c r="QV141" s="68"/>
      <c r="QW141" s="68"/>
      <c r="QX141" s="68"/>
      <c r="QY141" s="68"/>
      <c r="QZ141" s="68"/>
      <c r="RA141" s="68"/>
      <c r="RB141" s="68"/>
      <c r="RC141" s="68"/>
      <c r="RD141" s="68"/>
      <c r="RE141" s="68"/>
      <c r="RF141" s="68"/>
      <c r="RG141" s="68"/>
      <c r="RH141" s="68"/>
      <c r="RI141" s="68"/>
      <c r="RJ141" s="68"/>
      <c r="RK141" s="68"/>
      <c r="RL141" s="68"/>
      <c r="RM141" s="68"/>
      <c r="RN141" s="68"/>
      <c r="RO141" s="68"/>
      <c r="RP141" s="68"/>
      <c r="RQ141" s="68"/>
      <c r="RR141" s="68"/>
      <c r="RS141" s="68"/>
      <c r="RT141" s="68"/>
      <c r="RU141" s="68"/>
      <c r="RV141" s="68"/>
      <c r="RW141" s="68"/>
      <c r="RX141" s="68"/>
      <c r="RY141" s="68"/>
      <c r="RZ141" s="68"/>
      <c r="SA141" s="68"/>
      <c r="SB141" s="68"/>
      <c r="SC141" s="68"/>
      <c r="SD141" s="68"/>
      <c r="SE141" s="68"/>
      <c r="SF141" s="68"/>
      <c r="SG141" s="68"/>
      <c r="SH141" s="68"/>
      <c r="SI141" s="68"/>
      <c r="SJ141" s="68"/>
      <c r="SK141" s="68"/>
      <c r="SL141" s="68"/>
      <c r="SM141" s="68"/>
      <c r="SN141" s="68"/>
      <c r="SO141" s="68"/>
      <c r="SP141" s="68"/>
      <c r="SQ141" s="68"/>
      <c r="SR141" s="68"/>
      <c r="SS141" s="68"/>
      <c r="ST141" s="68"/>
      <c r="SU141" s="68"/>
      <c r="SV141" s="68"/>
      <c r="SW141" s="68"/>
      <c r="SX141" s="68"/>
      <c r="SY141" s="68"/>
      <c r="SZ141" s="68"/>
      <c r="TA141" s="68"/>
      <c r="TB141" s="68"/>
      <c r="TC141" s="68"/>
      <c r="TD141" s="68"/>
      <c r="TE141" s="68"/>
      <c r="TF141" s="68"/>
      <c r="TG141" s="68"/>
      <c r="TH141" s="68"/>
      <c r="TI141" s="68"/>
      <c r="TJ141" s="68"/>
      <c r="TK141" s="68"/>
      <c r="TL141" s="68"/>
      <c r="TM141" s="68"/>
      <c r="TN141" s="68"/>
      <c r="TO141" s="68"/>
      <c r="TP141" s="68"/>
      <c r="TQ141" s="68"/>
      <c r="TR141" s="68"/>
      <c r="TS141" s="68"/>
      <c r="TT141" s="68"/>
      <c r="TU141" s="68"/>
      <c r="TV141" s="68"/>
      <c r="TW141" s="68"/>
      <c r="TX141" s="68"/>
      <c r="TY141" s="68"/>
      <c r="TZ141" s="68"/>
      <c r="UA141" s="68"/>
      <c r="UB141" s="68"/>
      <c r="UC141" s="68"/>
      <c r="UD141" s="68"/>
      <c r="UE141" s="68"/>
      <c r="UF141" s="68"/>
      <c r="UG141" s="68"/>
      <c r="UH141" s="68"/>
      <c r="UI141" s="68"/>
      <c r="UJ141" s="68"/>
      <c r="UK141" s="68"/>
      <c r="UL141" s="68"/>
      <c r="UM141" s="68"/>
      <c r="UN141" s="68"/>
      <c r="UO141" s="68"/>
      <c r="UP141" s="68"/>
      <c r="UQ141" s="68"/>
      <c r="UR141" s="68"/>
      <c r="US141" s="68"/>
      <c r="UT141" s="68"/>
      <c r="UU141" s="68"/>
      <c r="UV141" s="68"/>
      <c r="UW141" s="68"/>
      <c r="UX141" s="68"/>
      <c r="UY141" s="68"/>
      <c r="UZ141" s="68"/>
      <c r="VA141" s="68"/>
      <c r="VB141" s="68"/>
      <c r="VC141" s="68"/>
      <c r="VD141" s="68"/>
      <c r="VE141" s="68"/>
      <c r="VF141" s="68"/>
      <c r="VG141" s="68"/>
      <c r="VH141" s="68"/>
      <c r="VI141" s="68"/>
      <c r="VJ141" s="68"/>
      <c r="VK141" s="68"/>
      <c r="VL141" s="68"/>
      <c r="VM141" s="68"/>
      <c r="VN141" s="68"/>
      <c r="VO141" s="68"/>
      <c r="VP141" s="68"/>
      <c r="VQ141" s="68"/>
      <c r="VR141" s="68"/>
      <c r="VS141" s="68"/>
      <c r="VT141" s="68"/>
      <c r="VU141" s="68"/>
      <c r="VV141" s="68"/>
      <c r="VW141" s="68"/>
      <c r="VX141" s="68"/>
      <c r="VY141" s="68"/>
      <c r="VZ141" s="68"/>
      <c r="WA141" s="68"/>
      <c r="WB141" s="68"/>
      <c r="WC141" s="68"/>
      <c r="WD141" s="68"/>
      <c r="WE141" s="68"/>
      <c r="WF141" s="68"/>
      <c r="WG141" s="68"/>
      <c r="WH141" s="68"/>
      <c r="WI141" s="68"/>
      <c r="WJ141" s="68"/>
      <c r="WK141" s="68"/>
      <c r="WL141" s="68"/>
      <c r="WM141" s="68"/>
      <c r="WN141" s="68"/>
      <c r="WO141" s="68"/>
      <c r="WP141" s="68"/>
      <c r="WQ141" s="68"/>
      <c r="WR141" s="68"/>
      <c r="WS141" s="68"/>
      <c r="WT141" s="68"/>
      <c r="WU141" s="68"/>
      <c r="WV141" s="68"/>
      <c r="WW141" s="68"/>
      <c r="WX141" s="68"/>
      <c r="WY141" s="68"/>
      <c r="WZ141" s="68"/>
      <c r="XA141" s="68"/>
      <c r="XB141" s="68"/>
      <c r="XC141" s="68"/>
      <c r="XD141" s="68"/>
      <c r="XE141" s="68"/>
      <c r="XF141" s="68"/>
      <c r="XG141" s="68"/>
      <c r="XH141" s="68"/>
      <c r="XI141" s="68"/>
      <c r="XJ141" s="68"/>
      <c r="XK141" s="68"/>
      <c r="XL141" s="68"/>
      <c r="XM141" s="68"/>
      <c r="XN141" s="68"/>
      <c r="XO141" s="68"/>
      <c r="XP141" s="68"/>
      <c r="XQ141" s="68"/>
      <c r="XR141" s="68"/>
      <c r="XS141" s="68"/>
      <c r="XT141" s="68"/>
      <c r="XU141" s="68"/>
      <c r="XV141" s="68"/>
      <c r="XW141" s="68"/>
      <c r="XX141" s="68"/>
      <c r="XY141" s="68"/>
      <c r="XZ141" s="68"/>
      <c r="YA141" s="68"/>
      <c r="YB141" s="68"/>
      <c r="YC141" s="68"/>
      <c r="YD141" s="68"/>
      <c r="YE141" s="68"/>
      <c r="YF141" s="68"/>
      <c r="YG141" s="68"/>
      <c r="YH141" s="68"/>
      <c r="YI141" s="68"/>
      <c r="YJ141" s="68"/>
      <c r="YK141" s="68"/>
      <c r="YL141" s="68"/>
      <c r="YM141" s="68"/>
      <c r="YN141" s="68"/>
      <c r="YO141" s="68"/>
      <c r="YP141" s="68"/>
      <c r="YQ141" s="68"/>
      <c r="YR141" s="68"/>
      <c r="YS141" s="68"/>
      <c r="YT141" s="68"/>
      <c r="YU141" s="68"/>
      <c r="YV141" s="68"/>
      <c r="YW141" s="68"/>
      <c r="YX141" s="68"/>
      <c r="YY141" s="68"/>
      <c r="YZ141" s="68"/>
      <c r="ZA141" s="68"/>
      <c r="ZB141" s="68"/>
      <c r="ZC141" s="68"/>
      <c r="ZD141" s="68"/>
      <c r="ZE141" s="68"/>
      <c r="ZF141" s="68"/>
      <c r="ZG141" s="68"/>
      <c r="ZH141" s="68"/>
      <c r="ZI141" s="68"/>
      <c r="ZJ141" s="68"/>
      <c r="ZK141" s="68"/>
      <c r="ZL141" s="68"/>
      <c r="ZM141" s="68"/>
      <c r="ZN141" s="68"/>
      <c r="ZO141" s="68"/>
      <c r="ZP141" s="68"/>
      <c r="ZQ141" s="68"/>
      <c r="ZR141" s="68"/>
      <c r="ZS141" s="68"/>
      <c r="ZT141" s="68"/>
      <c r="ZU141" s="68"/>
      <c r="ZV141" s="68"/>
      <c r="ZW141" s="68"/>
      <c r="ZX141" s="68"/>
      <c r="ZY141" s="68"/>
      <c r="ZZ141" s="68"/>
      <c r="AAA141" s="68"/>
      <c r="AAB141" s="68"/>
      <c r="AAC141" s="68"/>
      <c r="AAD141" s="68"/>
      <c r="AAE141" s="68"/>
      <c r="AAF141" s="68"/>
      <c r="AAG141" s="68"/>
      <c r="AAH141" s="68"/>
      <c r="AAI141" s="68"/>
      <c r="AAJ141" s="68"/>
      <c r="AAK141" s="68"/>
      <c r="AAL141" s="68"/>
      <c r="AAM141" s="68"/>
      <c r="AAN141" s="68"/>
      <c r="AAO141" s="68"/>
      <c r="AAP141" s="68"/>
      <c r="AAQ141" s="68"/>
      <c r="AAR141" s="68"/>
      <c r="AAS141" s="68"/>
      <c r="AAT141" s="68"/>
      <c r="AAU141" s="68"/>
      <c r="AAV141" s="68"/>
      <c r="AAW141" s="68"/>
      <c r="AAX141" s="68"/>
      <c r="AAY141" s="68"/>
      <c r="AAZ141" s="68"/>
      <c r="ABA141" s="68"/>
      <c r="ABB141" s="68"/>
      <c r="ABC141" s="68"/>
      <c r="ABD141" s="68"/>
      <c r="ABE141" s="68"/>
      <c r="ABF141" s="68"/>
      <c r="ABG141" s="68"/>
      <c r="ABH141" s="68"/>
      <c r="ABI141" s="68"/>
      <c r="ABJ141" s="68"/>
      <c r="ABK141" s="68"/>
      <c r="ABL141" s="68"/>
      <c r="ABM141" s="68"/>
      <c r="ABN141" s="68"/>
      <c r="ABO141" s="68"/>
      <c r="ABP141" s="68"/>
      <c r="ABQ141" s="68"/>
      <c r="ABR141" s="68"/>
      <c r="ABS141" s="68"/>
      <c r="ABT141" s="68"/>
      <c r="ABU141" s="68"/>
      <c r="ABV141" s="68"/>
      <c r="ABW141" s="68"/>
      <c r="ABX141" s="68"/>
      <c r="ABY141" s="68"/>
      <c r="ABZ141" s="68"/>
      <c r="ACA141" s="68"/>
      <c r="ACB141" s="68"/>
      <c r="ACC141" s="68"/>
      <c r="ACD141" s="68"/>
      <c r="ACE141" s="68"/>
      <c r="ACF141" s="68"/>
      <c r="ACG141" s="68"/>
      <c r="ACH141" s="68"/>
      <c r="ACI141" s="68"/>
      <c r="ACJ141" s="68"/>
      <c r="ACK141" s="68"/>
      <c r="ACL141" s="68"/>
      <c r="ACM141" s="68"/>
      <c r="ACN141" s="68"/>
      <c r="ACO141" s="68"/>
      <c r="ACP141" s="68"/>
      <c r="ACQ141" s="68"/>
      <c r="ACR141" s="68"/>
      <c r="ACS141" s="68"/>
      <c r="ACT141" s="68"/>
      <c r="ACU141" s="68"/>
      <c r="ACV141" s="68"/>
      <c r="ACW141" s="68"/>
      <c r="ACX141" s="68"/>
      <c r="ACY141" s="68"/>
      <c r="ACZ141" s="68"/>
      <c r="ADA141" s="68"/>
      <c r="ADB141" s="68"/>
      <c r="ADC141" s="68"/>
      <c r="ADD141" s="68"/>
      <c r="ADE141" s="68"/>
      <c r="ADF141" s="68"/>
      <c r="ADG141" s="68"/>
      <c r="ADH141" s="68"/>
      <c r="ADI141" s="68"/>
      <c r="ADJ141" s="68"/>
      <c r="ADK141" s="68"/>
      <c r="ADL141" s="68"/>
      <c r="ADM141" s="68"/>
      <c r="ADN141" s="68"/>
      <c r="ADO141" s="68"/>
      <c r="ADP141" s="68"/>
      <c r="ADQ141" s="68"/>
      <c r="ADR141" s="68"/>
      <c r="ADS141" s="68"/>
      <c r="ADT141" s="68"/>
      <c r="ADU141" s="68"/>
      <c r="ADV141" s="68"/>
      <c r="ADW141" s="68"/>
      <c r="ADX141" s="68"/>
      <c r="ADY141" s="68"/>
      <c r="ADZ141" s="68"/>
      <c r="AEA141" s="68"/>
      <c r="AEB141" s="68"/>
      <c r="AEC141" s="68"/>
      <c r="AED141" s="68"/>
      <c r="AEE141" s="68"/>
      <c r="AEF141" s="68"/>
      <c r="AEG141" s="68"/>
      <c r="AEH141" s="68"/>
      <c r="AEI141" s="68"/>
      <c r="AEJ141" s="68"/>
      <c r="AEK141" s="68"/>
      <c r="AEL141" s="68"/>
      <c r="AEM141" s="68"/>
      <c r="AEN141" s="68"/>
      <c r="AEO141" s="68"/>
      <c r="AEP141" s="68"/>
      <c r="AEQ141" s="68"/>
      <c r="AER141" s="68"/>
      <c r="AES141" s="68"/>
      <c r="AET141" s="68"/>
      <c r="AEU141" s="68"/>
      <c r="AEV141" s="68"/>
      <c r="AEW141" s="68"/>
      <c r="AEX141" s="68"/>
      <c r="AEY141" s="68"/>
      <c r="AEZ141" s="68"/>
      <c r="AFA141" s="68"/>
      <c r="AFB141" s="68"/>
      <c r="AFC141" s="68"/>
      <c r="AFD141" s="68"/>
      <c r="AFE141" s="68"/>
      <c r="AFF141" s="68"/>
      <c r="AFG141" s="68"/>
      <c r="AFH141" s="68"/>
      <c r="AFI141" s="68"/>
      <c r="AFJ141" s="68"/>
      <c r="AFK141" s="68"/>
      <c r="AFL141" s="68"/>
      <c r="AFM141" s="68"/>
      <c r="AFN141" s="68"/>
      <c r="AFO141" s="68"/>
      <c r="AFP141" s="68"/>
      <c r="AFQ141" s="68"/>
      <c r="AFR141" s="68"/>
      <c r="AFS141" s="68"/>
      <c r="AFT141" s="68"/>
      <c r="AFU141" s="68"/>
      <c r="AFV141" s="68"/>
      <c r="AFW141" s="68"/>
      <c r="AFX141" s="68"/>
      <c r="AFY141" s="68"/>
      <c r="AFZ141" s="68"/>
      <c r="AGA141" s="68"/>
      <c r="AGB141" s="68"/>
      <c r="AGC141" s="68"/>
      <c r="AGD141" s="68"/>
      <c r="AGE141" s="68"/>
      <c r="AGF141" s="68"/>
      <c r="AGG141" s="68"/>
      <c r="AGH141" s="68"/>
      <c r="AGI141" s="68"/>
      <c r="AGJ141" s="68"/>
      <c r="AGK141" s="68"/>
      <c r="AGL141" s="68"/>
      <c r="AGM141" s="68"/>
      <c r="AGN141" s="68"/>
      <c r="AGO141" s="68"/>
      <c r="AGP141" s="68"/>
      <c r="AGQ141" s="68"/>
      <c r="AGR141" s="68"/>
      <c r="AGS141" s="68"/>
      <c r="AGT141" s="68"/>
      <c r="AGU141" s="68"/>
      <c r="AGV141" s="68"/>
      <c r="AGW141" s="68"/>
      <c r="AGX141" s="68"/>
      <c r="AGY141" s="68"/>
      <c r="AGZ141" s="68"/>
      <c r="AHA141" s="68"/>
      <c r="AHB141" s="68"/>
      <c r="AHC141" s="68"/>
      <c r="AHD141" s="68"/>
      <c r="AHE141" s="68"/>
      <c r="AHF141" s="68"/>
      <c r="AHG141" s="68"/>
      <c r="AHH141" s="68"/>
      <c r="AHI141" s="68"/>
      <c r="AHJ141" s="68"/>
      <c r="AHK141" s="68"/>
      <c r="AHL141" s="68"/>
      <c r="AHM141" s="68"/>
      <c r="AHN141" s="68"/>
      <c r="AHO141" s="68"/>
      <c r="AHP141" s="68"/>
      <c r="AHQ141" s="68"/>
      <c r="AHR141" s="68"/>
      <c r="AHS141" s="68"/>
      <c r="AHT141" s="68"/>
      <c r="AHU141" s="68"/>
      <c r="AHV141" s="68"/>
      <c r="AHW141" s="68"/>
      <c r="AHX141" s="68"/>
      <c r="AHY141" s="68"/>
      <c r="AHZ141" s="68"/>
      <c r="AIA141" s="68"/>
      <c r="AIB141" s="68"/>
      <c r="AIC141" s="68"/>
      <c r="AID141" s="68"/>
      <c r="AIE141" s="68"/>
      <c r="AIF141" s="68"/>
      <c r="AIG141" s="68"/>
      <c r="AIH141" s="68"/>
      <c r="AII141" s="68"/>
      <c r="AIJ141" s="68"/>
      <c r="AIK141" s="68"/>
      <c r="AIL141" s="68"/>
      <c r="AIM141" s="68"/>
      <c r="AIN141" s="68"/>
      <c r="AIO141" s="68"/>
      <c r="AIP141" s="68"/>
      <c r="AIQ141" s="68"/>
      <c r="AIR141" s="68"/>
      <c r="AIS141" s="68"/>
      <c r="AIT141" s="68"/>
      <c r="AIU141" s="68"/>
      <c r="AIV141" s="68"/>
      <c r="AIW141" s="68"/>
      <c r="AIX141" s="68"/>
      <c r="AIY141" s="68"/>
      <c r="AIZ141" s="68"/>
      <c r="AJA141" s="68"/>
      <c r="AJB141" s="68"/>
      <c r="AJC141" s="68"/>
    </row>
    <row r="142" spans="1:939" s="85" customFormat="1" ht="30" customHeight="1" thickBot="1" x14ac:dyDescent="0.3">
      <c r="A142" s="484"/>
      <c r="B142" s="485"/>
      <c r="C142" s="485"/>
      <c r="D142" s="469" t="s">
        <v>18</v>
      </c>
      <c r="E142" s="470"/>
      <c r="F142" s="470"/>
      <c r="G142" s="470"/>
      <c r="H142" s="470"/>
      <c r="I142" s="470"/>
      <c r="J142" s="470"/>
      <c r="K142" s="470"/>
      <c r="L142" s="471"/>
      <c r="M142" s="91"/>
      <c r="N142" s="92">
        <f>SUMIF($M$114:$M$138,D142,$N$114:$N$138)</f>
        <v>0</v>
      </c>
      <c r="O142" s="92"/>
      <c r="P142" s="93">
        <f>SUMIF($M$104:$M$138,D142,$P$104:$P$138)</f>
        <v>0</v>
      </c>
      <c r="Q142" s="93"/>
      <c r="R142" s="93">
        <f>SUMIF($M$104:$M$138,D142,$R$104:$R$138)</f>
        <v>0</v>
      </c>
      <c r="S142" s="93">
        <f>SUMIF($M$104:$M$138,D142,$S$104:$S$138)</f>
        <v>0</v>
      </c>
      <c r="T142" s="92">
        <f>SUMIF($M$104:$M$138,D142,$T$104:$T$138)</f>
        <v>0</v>
      </c>
      <c r="U142" s="92"/>
      <c r="V142" s="94"/>
      <c r="W142" s="95"/>
      <c r="X142" s="47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  <c r="BQ142" s="68"/>
      <c r="BR142" s="68"/>
      <c r="BS142" s="68"/>
      <c r="BT142" s="68"/>
      <c r="BU142" s="68"/>
      <c r="BV142" s="68"/>
      <c r="BW142" s="68"/>
      <c r="BX142" s="68"/>
      <c r="BY142" s="68"/>
      <c r="BZ142" s="68"/>
      <c r="CA142" s="68"/>
      <c r="CB142" s="68"/>
      <c r="CC142" s="68"/>
      <c r="CD142" s="68"/>
      <c r="CE142" s="68"/>
      <c r="CF142" s="68"/>
      <c r="CG142" s="68"/>
      <c r="CH142" s="68"/>
      <c r="CI142" s="68"/>
      <c r="CJ142" s="68"/>
      <c r="CK142" s="68"/>
      <c r="CL142" s="68"/>
      <c r="CM142" s="68"/>
      <c r="CN142" s="68"/>
      <c r="CO142" s="68"/>
      <c r="CP142" s="68"/>
      <c r="CQ142" s="68"/>
      <c r="CR142" s="68"/>
      <c r="CS142" s="68"/>
      <c r="CT142" s="68"/>
      <c r="CU142" s="68"/>
      <c r="CV142" s="68"/>
      <c r="CW142" s="68"/>
      <c r="CX142" s="68"/>
      <c r="CY142" s="68"/>
      <c r="CZ142" s="68"/>
      <c r="DA142" s="68"/>
      <c r="DB142" s="68"/>
      <c r="DC142" s="68"/>
      <c r="DD142" s="68"/>
      <c r="DE142" s="68"/>
      <c r="DF142" s="68"/>
      <c r="DG142" s="68"/>
      <c r="DH142" s="68"/>
      <c r="DI142" s="68"/>
      <c r="DJ142" s="68"/>
      <c r="DK142" s="68"/>
      <c r="DL142" s="68"/>
      <c r="DM142" s="68"/>
      <c r="DN142" s="68"/>
      <c r="DO142" s="68"/>
      <c r="DP142" s="68"/>
      <c r="DQ142" s="68"/>
      <c r="DR142" s="68"/>
      <c r="DS142" s="68"/>
      <c r="DT142" s="68"/>
      <c r="DU142" s="68"/>
      <c r="DV142" s="68"/>
      <c r="DW142" s="68"/>
      <c r="DX142" s="68"/>
      <c r="DY142" s="68"/>
      <c r="DZ142" s="68"/>
      <c r="EA142" s="68"/>
      <c r="EB142" s="68"/>
      <c r="EC142" s="68"/>
      <c r="ED142" s="68"/>
      <c r="EE142" s="68"/>
      <c r="EF142" s="68"/>
      <c r="EG142" s="68"/>
      <c r="EH142" s="68"/>
      <c r="EI142" s="68"/>
      <c r="EJ142" s="68"/>
      <c r="EK142" s="68"/>
      <c r="EL142" s="68"/>
      <c r="EM142" s="68"/>
      <c r="EN142" s="68"/>
      <c r="EO142" s="68"/>
      <c r="EP142" s="68"/>
      <c r="EQ142" s="68"/>
      <c r="ER142" s="68"/>
      <c r="ES142" s="68"/>
      <c r="ET142" s="68"/>
      <c r="EU142" s="68"/>
      <c r="EV142" s="68"/>
      <c r="EW142" s="68"/>
      <c r="EX142" s="68"/>
      <c r="EY142" s="68"/>
      <c r="EZ142" s="68"/>
      <c r="FA142" s="68"/>
      <c r="FB142" s="68"/>
      <c r="FC142" s="68"/>
      <c r="FD142" s="68"/>
      <c r="FE142" s="68"/>
      <c r="FF142" s="68"/>
      <c r="FG142" s="68"/>
      <c r="FH142" s="68"/>
      <c r="FI142" s="68"/>
      <c r="FJ142" s="68"/>
      <c r="FK142" s="68"/>
      <c r="FL142" s="68"/>
      <c r="FM142" s="68"/>
      <c r="FN142" s="68"/>
      <c r="FO142" s="68"/>
      <c r="FP142" s="68"/>
      <c r="FQ142" s="68"/>
      <c r="FR142" s="68"/>
      <c r="FS142" s="68"/>
      <c r="FT142" s="68"/>
      <c r="FU142" s="68"/>
      <c r="FV142" s="68"/>
      <c r="FW142" s="68"/>
      <c r="FX142" s="68"/>
      <c r="FY142" s="68"/>
      <c r="FZ142" s="68"/>
      <c r="GA142" s="68"/>
      <c r="GB142" s="68"/>
      <c r="GC142" s="68"/>
      <c r="GD142" s="68"/>
      <c r="GE142" s="68"/>
      <c r="GF142" s="68"/>
      <c r="GG142" s="68"/>
      <c r="GH142" s="68"/>
      <c r="GI142" s="68"/>
      <c r="GJ142" s="68"/>
      <c r="GK142" s="68"/>
      <c r="GL142" s="68"/>
      <c r="GM142" s="68"/>
      <c r="GN142" s="68"/>
      <c r="GO142" s="68"/>
      <c r="GP142" s="68"/>
      <c r="GQ142" s="68"/>
      <c r="GR142" s="68"/>
      <c r="GS142" s="68"/>
      <c r="GT142" s="68"/>
      <c r="GU142" s="68"/>
      <c r="GV142" s="68"/>
      <c r="GW142" s="68"/>
      <c r="GX142" s="68"/>
      <c r="GY142" s="68"/>
      <c r="GZ142" s="68"/>
      <c r="HA142" s="68"/>
      <c r="HB142" s="68"/>
      <c r="HC142" s="68"/>
      <c r="HD142" s="68"/>
      <c r="HE142" s="68"/>
      <c r="HF142" s="68"/>
      <c r="HG142" s="68"/>
      <c r="HH142" s="68"/>
      <c r="HI142" s="68"/>
      <c r="HJ142" s="68"/>
      <c r="HK142" s="68"/>
      <c r="HL142" s="68"/>
      <c r="HM142" s="68"/>
      <c r="HN142" s="68"/>
      <c r="HO142" s="68"/>
      <c r="HP142" s="68"/>
      <c r="HQ142" s="68"/>
      <c r="HR142" s="68"/>
      <c r="HS142" s="68"/>
      <c r="HT142" s="68"/>
      <c r="HU142" s="68"/>
      <c r="HV142" s="68"/>
      <c r="HW142" s="68"/>
      <c r="HX142" s="68"/>
      <c r="HY142" s="68"/>
      <c r="HZ142" s="68"/>
      <c r="IA142" s="68"/>
      <c r="IB142" s="68"/>
      <c r="IC142" s="68"/>
      <c r="ID142" s="68"/>
      <c r="IE142" s="68"/>
      <c r="IF142" s="68"/>
      <c r="IG142" s="68"/>
      <c r="IH142" s="68"/>
      <c r="II142" s="68"/>
      <c r="IJ142" s="68"/>
      <c r="IK142" s="68"/>
      <c r="IL142" s="68"/>
      <c r="IM142" s="68"/>
      <c r="IN142" s="68"/>
      <c r="IO142" s="68"/>
      <c r="IP142" s="68"/>
      <c r="IQ142" s="68"/>
      <c r="IR142" s="68"/>
      <c r="IS142" s="68"/>
      <c r="IT142" s="68"/>
      <c r="IU142" s="68"/>
      <c r="IV142" s="68"/>
      <c r="IW142" s="68"/>
      <c r="IX142" s="68"/>
      <c r="IY142" s="68"/>
      <c r="IZ142" s="68"/>
      <c r="JA142" s="68"/>
      <c r="JB142" s="68"/>
      <c r="JC142" s="68"/>
      <c r="JD142" s="68"/>
      <c r="JE142" s="68"/>
      <c r="JF142" s="68"/>
      <c r="JG142" s="68"/>
      <c r="JH142" s="68"/>
      <c r="JI142" s="68"/>
      <c r="JJ142" s="68"/>
      <c r="JK142" s="68"/>
      <c r="JL142" s="68"/>
      <c r="JM142" s="68"/>
      <c r="JN142" s="68"/>
      <c r="JO142" s="68"/>
      <c r="JP142" s="68"/>
      <c r="JQ142" s="68"/>
      <c r="JR142" s="68"/>
      <c r="JS142" s="68"/>
      <c r="JT142" s="68"/>
      <c r="JU142" s="68"/>
      <c r="JV142" s="68"/>
      <c r="JW142" s="68"/>
      <c r="JX142" s="68"/>
      <c r="JY142" s="68"/>
      <c r="JZ142" s="68"/>
      <c r="KA142" s="68"/>
      <c r="KB142" s="68"/>
      <c r="KC142" s="68"/>
      <c r="KD142" s="68"/>
      <c r="KE142" s="68"/>
      <c r="KF142" s="68"/>
      <c r="KG142" s="68"/>
      <c r="KH142" s="68"/>
      <c r="KI142" s="68"/>
      <c r="KJ142" s="68"/>
      <c r="KK142" s="68"/>
      <c r="KL142" s="68"/>
      <c r="KM142" s="68"/>
      <c r="KN142" s="68"/>
      <c r="KO142" s="68"/>
      <c r="KP142" s="68"/>
      <c r="KQ142" s="68"/>
      <c r="KR142" s="68"/>
      <c r="KS142" s="68"/>
      <c r="KT142" s="68"/>
      <c r="KU142" s="68"/>
      <c r="KV142" s="68"/>
      <c r="KW142" s="68"/>
      <c r="KX142" s="68"/>
      <c r="KY142" s="68"/>
      <c r="KZ142" s="68"/>
      <c r="LA142" s="68"/>
      <c r="LB142" s="68"/>
      <c r="LC142" s="68"/>
      <c r="LD142" s="68"/>
      <c r="LE142" s="68"/>
      <c r="LF142" s="68"/>
      <c r="LG142" s="68"/>
      <c r="LH142" s="68"/>
      <c r="LI142" s="68"/>
      <c r="LJ142" s="68"/>
      <c r="LK142" s="68"/>
      <c r="LL142" s="68"/>
      <c r="LM142" s="68"/>
      <c r="LN142" s="68"/>
      <c r="LO142" s="68"/>
      <c r="LP142" s="68"/>
      <c r="LQ142" s="68"/>
      <c r="LR142" s="68"/>
      <c r="LS142" s="68"/>
      <c r="LT142" s="68"/>
      <c r="LU142" s="68"/>
      <c r="LV142" s="68"/>
      <c r="LW142" s="68"/>
      <c r="LX142" s="68"/>
      <c r="LY142" s="68"/>
      <c r="LZ142" s="68"/>
      <c r="MA142" s="68"/>
      <c r="MB142" s="68"/>
      <c r="MC142" s="68"/>
      <c r="MD142" s="68"/>
      <c r="ME142" s="68"/>
      <c r="MF142" s="68"/>
      <c r="MG142" s="68"/>
      <c r="MH142" s="68"/>
      <c r="MI142" s="68"/>
      <c r="MJ142" s="68"/>
      <c r="MK142" s="68"/>
      <c r="ML142" s="68"/>
      <c r="MM142" s="68"/>
      <c r="MN142" s="68"/>
      <c r="MO142" s="68"/>
      <c r="MP142" s="68"/>
      <c r="MQ142" s="68"/>
      <c r="MR142" s="68"/>
      <c r="MS142" s="68"/>
      <c r="MT142" s="68"/>
      <c r="MU142" s="68"/>
      <c r="MV142" s="68"/>
      <c r="MW142" s="68"/>
      <c r="MX142" s="68"/>
      <c r="MY142" s="68"/>
      <c r="MZ142" s="68"/>
      <c r="NA142" s="68"/>
      <c r="NB142" s="68"/>
      <c r="NC142" s="68"/>
      <c r="ND142" s="68"/>
      <c r="NE142" s="68"/>
      <c r="NF142" s="68"/>
      <c r="NG142" s="68"/>
      <c r="NH142" s="68"/>
      <c r="NI142" s="68"/>
      <c r="NJ142" s="68"/>
      <c r="NK142" s="68"/>
      <c r="NL142" s="68"/>
      <c r="NM142" s="68"/>
      <c r="NN142" s="68"/>
      <c r="NO142" s="68"/>
      <c r="NP142" s="68"/>
      <c r="NQ142" s="68"/>
      <c r="NR142" s="68"/>
      <c r="NS142" s="68"/>
      <c r="NT142" s="68"/>
      <c r="NU142" s="68"/>
      <c r="NV142" s="68"/>
      <c r="NW142" s="68"/>
      <c r="NX142" s="68"/>
      <c r="NY142" s="68"/>
      <c r="NZ142" s="68"/>
      <c r="OA142" s="68"/>
      <c r="OB142" s="68"/>
      <c r="OC142" s="68"/>
      <c r="OD142" s="68"/>
      <c r="OE142" s="68"/>
      <c r="OF142" s="68"/>
      <c r="OG142" s="68"/>
      <c r="OH142" s="68"/>
      <c r="OI142" s="68"/>
      <c r="OJ142" s="68"/>
      <c r="OK142" s="68"/>
      <c r="OL142" s="68"/>
      <c r="OM142" s="68"/>
      <c r="ON142" s="68"/>
      <c r="OO142" s="68"/>
      <c r="OP142" s="68"/>
      <c r="OQ142" s="68"/>
      <c r="OR142" s="68"/>
      <c r="OS142" s="68"/>
      <c r="OT142" s="68"/>
      <c r="OU142" s="68"/>
      <c r="OV142" s="68"/>
      <c r="OW142" s="68"/>
      <c r="OX142" s="68"/>
      <c r="OY142" s="68"/>
      <c r="OZ142" s="68"/>
      <c r="PA142" s="68"/>
      <c r="PB142" s="68"/>
      <c r="PC142" s="68"/>
      <c r="PD142" s="68"/>
      <c r="PE142" s="68"/>
      <c r="PF142" s="68"/>
      <c r="PG142" s="68"/>
      <c r="PH142" s="68"/>
      <c r="PI142" s="68"/>
      <c r="PJ142" s="68"/>
      <c r="PK142" s="68"/>
      <c r="PL142" s="68"/>
      <c r="PM142" s="68"/>
      <c r="PN142" s="68"/>
      <c r="PO142" s="68"/>
      <c r="PP142" s="68"/>
      <c r="PQ142" s="68"/>
      <c r="PR142" s="68"/>
      <c r="PS142" s="68"/>
      <c r="PT142" s="68"/>
      <c r="PU142" s="68"/>
      <c r="PV142" s="68"/>
      <c r="PW142" s="68"/>
      <c r="PX142" s="68"/>
      <c r="PY142" s="68"/>
      <c r="PZ142" s="68"/>
      <c r="QA142" s="68"/>
      <c r="QB142" s="68"/>
      <c r="QC142" s="68"/>
      <c r="QD142" s="68"/>
      <c r="QE142" s="68"/>
      <c r="QF142" s="68"/>
      <c r="QG142" s="68"/>
      <c r="QH142" s="68"/>
      <c r="QI142" s="68"/>
      <c r="QJ142" s="68"/>
      <c r="QK142" s="68"/>
      <c r="QL142" s="68"/>
      <c r="QM142" s="68"/>
      <c r="QN142" s="68"/>
      <c r="QO142" s="68"/>
      <c r="QP142" s="68"/>
      <c r="QQ142" s="68"/>
      <c r="QR142" s="68"/>
      <c r="QS142" s="68"/>
      <c r="QT142" s="68"/>
      <c r="QU142" s="68"/>
      <c r="QV142" s="68"/>
      <c r="QW142" s="68"/>
      <c r="QX142" s="68"/>
      <c r="QY142" s="68"/>
      <c r="QZ142" s="68"/>
      <c r="RA142" s="68"/>
      <c r="RB142" s="68"/>
      <c r="RC142" s="68"/>
      <c r="RD142" s="68"/>
      <c r="RE142" s="68"/>
      <c r="RF142" s="68"/>
      <c r="RG142" s="68"/>
      <c r="RH142" s="68"/>
      <c r="RI142" s="68"/>
      <c r="RJ142" s="68"/>
      <c r="RK142" s="68"/>
      <c r="RL142" s="68"/>
      <c r="RM142" s="68"/>
      <c r="RN142" s="68"/>
      <c r="RO142" s="68"/>
      <c r="RP142" s="68"/>
      <c r="RQ142" s="68"/>
      <c r="RR142" s="68"/>
      <c r="RS142" s="68"/>
      <c r="RT142" s="68"/>
      <c r="RU142" s="68"/>
      <c r="RV142" s="68"/>
      <c r="RW142" s="68"/>
      <c r="RX142" s="68"/>
      <c r="RY142" s="68"/>
      <c r="RZ142" s="68"/>
      <c r="SA142" s="68"/>
      <c r="SB142" s="68"/>
      <c r="SC142" s="68"/>
      <c r="SD142" s="68"/>
      <c r="SE142" s="68"/>
      <c r="SF142" s="68"/>
      <c r="SG142" s="68"/>
      <c r="SH142" s="68"/>
      <c r="SI142" s="68"/>
      <c r="SJ142" s="68"/>
      <c r="SK142" s="68"/>
      <c r="SL142" s="68"/>
      <c r="SM142" s="68"/>
      <c r="SN142" s="68"/>
      <c r="SO142" s="68"/>
      <c r="SP142" s="68"/>
      <c r="SQ142" s="68"/>
      <c r="SR142" s="68"/>
      <c r="SS142" s="68"/>
      <c r="ST142" s="68"/>
      <c r="SU142" s="68"/>
      <c r="SV142" s="68"/>
      <c r="SW142" s="68"/>
      <c r="SX142" s="68"/>
      <c r="SY142" s="68"/>
      <c r="SZ142" s="68"/>
      <c r="TA142" s="68"/>
      <c r="TB142" s="68"/>
      <c r="TC142" s="68"/>
      <c r="TD142" s="68"/>
      <c r="TE142" s="68"/>
      <c r="TF142" s="68"/>
      <c r="TG142" s="68"/>
      <c r="TH142" s="68"/>
      <c r="TI142" s="68"/>
      <c r="TJ142" s="68"/>
      <c r="TK142" s="68"/>
      <c r="TL142" s="68"/>
      <c r="TM142" s="68"/>
      <c r="TN142" s="68"/>
      <c r="TO142" s="68"/>
      <c r="TP142" s="68"/>
      <c r="TQ142" s="68"/>
      <c r="TR142" s="68"/>
      <c r="TS142" s="68"/>
      <c r="TT142" s="68"/>
      <c r="TU142" s="68"/>
      <c r="TV142" s="68"/>
      <c r="TW142" s="68"/>
      <c r="TX142" s="68"/>
      <c r="TY142" s="68"/>
      <c r="TZ142" s="68"/>
      <c r="UA142" s="68"/>
      <c r="UB142" s="68"/>
      <c r="UC142" s="68"/>
      <c r="UD142" s="68"/>
      <c r="UE142" s="68"/>
      <c r="UF142" s="68"/>
      <c r="UG142" s="68"/>
      <c r="UH142" s="68"/>
      <c r="UI142" s="68"/>
      <c r="UJ142" s="68"/>
      <c r="UK142" s="68"/>
      <c r="UL142" s="68"/>
      <c r="UM142" s="68"/>
      <c r="UN142" s="68"/>
      <c r="UO142" s="68"/>
      <c r="UP142" s="68"/>
      <c r="UQ142" s="68"/>
      <c r="UR142" s="68"/>
      <c r="US142" s="68"/>
      <c r="UT142" s="68"/>
      <c r="UU142" s="68"/>
      <c r="UV142" s="68"/>
      <c r="UW142" s="68"/>
      <c r="UX142" s="68"/>
      <c r="UY142" s="68"/>
      <c r="UZ142" s="68"/>
      <c r="VA142" s="68"/>
      <c r="VB142" s="68"/>
      <c r="VC142" s="68"/>
      <c r="VD142" s="68"/>
      <c r="VE142" s="68"/>
      <c r="VF142" s="68"/>
      <c r="VG142" s="68"/>
      <c r="VH142" s="68"/>
      <c r="VI142" s="68"/>
      <c r="VJ142" s="68"/>
      <c r="VK142" s="68"/>
      <c r="VL142" s="68"/>
      <c r="VM142" s="68"/>
      <c r="VN142" s="68"/>
      <c r="VO142" s="68"/>
      <c r="VP142" s="68"/>
      <c r="VQ142" s="68"/>
      <c r="VR142" s="68"/>
      <c r="VS142" s="68"/>
      <c r="VT142" s="68"/>
      <c r="VU142" s="68"/>
      <c r="VV142" s="68"/>
      <c r="VW142" s="68"/>
      <c r="VX142" s="68"/>
      <c r="VY142" s="68"/>
      <c r="VZ142" s="68"/>
      <c r="WA142" s="68"/>
      <c r="WB142" s="68"/>
      <c r="WC142" s="68"/>
      <c r="WD142" s="68"/>
      <c r="WE142" s="68"/>
      <c r="WF142" s="68"/>
      <c r="WG142" s="68"/>
      <c r="WH142" s="68"/>
      <c r="WI142" s="68"/>
      <c r="WJ142" s="68"/>
      <c r="WK142" s="68"/>
      <c r="WL142" s="68"/>
      <c r="WM142" s="68"/>
      <c r="WN142" s="68"/>
      <c r="WO142" s="68"/>
      <c r="WP142" s="68"/>
      <c r="WQ142" s="68"/>
      <c r="WR142" s="68"/>
      <c r="WS142" s="68"/>
      <c r="WT142" s="68"/>
      <c r="WU142" s="68"/>
      <c r="WV142" s="68"/>
      <c r="WW142" s="68"/>
      <c r="WX142" s="68"/>
      <c r="WY142" s="68"/>
      <c r="WZ142" s="68"/>
      <c r="XA142" s="68"/>
      <c r="XB142" s="68"/>
      <c r="XC142" s="68"/>
      <c r="XD142" s="68"/>
      <c r="XE142" s="68"/>
      <c r="XF142" s="68"/>
      <c r="XG142" s="68"/>
      <c r="XH142" s="68"/>
      <c r="XI142" s="68"/>
      <c r="XJ142" s="68"/>
      <c r="XK142" s="68"/>
      <c r="XL142" s="68"/>
      <c r="XM142" s="68"/>
      <c r="XN142" s="68"/>
      <c r="XO142" s="68"/>
      <c r="XP142" s="68"/>
      <c r="XQ142" s="68"/>
      <c r="XR142" s="68"/>
      <c r="XS142" s="68"/>
      <c r="XT142" s="68"/>
      <c r="XU142" s="68"/>
      <c r="XV142" s="68"/>
      <c r="XW142" s="68"/>
      <c r="XX142" s="68"/>
      <c r="XY142" s="68"/>
      <c r="XZ142" s="68"/>
      <c r="YA142" s="68"/>
      <c r="YB142" s="68"/>
      <c r="YC142" s="68"/>
      <c r="YD142" s="68"/>
      <c r="YE142" s="68"/>
      <c r="YF142" s="68"/>
      <c r="YG142" s="68"/>
      <c r="YH142" s="68"/>
      <c r="YI142" s="68"/>
      <c r="YJ142" s="68"/>
      <c r="YK142" s="68"/>
      <c r="YL142" s="68"/>
      <c r="YM142" s="68"/>
      <c r="YN142" s="68"/>
      <c r="YO142" s="68"/>
      <c r="YP142" s="68"/>
      <c r="YQ142" s="68"/>
      <c r="YR142" s="68"/>
      <c r="YS142" s="68"/>
      <c r="YT142" s="68"/>
      <c r="YU142" s="68"/>
      <c r="YV142" s="68"/>
      <c r="YW142" s="68"/>
      <c r="YX142" s="68"/>
      <c r="YY142" s="68"/>
      <c r="YZ142" s="68"/>
      <c r="ZA142" s="68"/>
      <c r="ZB142" s="68"/>
      <c r="ZC142" s="68"/>
      <c r="ZD142" s="68"/>
      <c r="ZE142" s="68"/>
      <c r="ZF142" s="68"/>
      <c r="ZG142" s="68"/>
      <c r="ZH142" s="68"/>
      <c r="ZI142" s="68"/>
      <c r="ZJ142" s="68"/>
      <c r="ZK142" s="68"/>
      <c r="ZL142" s="68"/>
      <c r="ZM142" s="68"/>
      <c r="ZN142" s="68"/>
      <c r="ZO142" s="68"/>
      <c r="ZP142" s="68"/>
      <c r="ZQ142" s="68"/>
      <c r="ZR142" s="68"/>
      <c r="ZS142" s="68"/>
      <c r="ZT142" s="68"/>
      <c r="ZU142" s="68"/>
      <c r="ZV142" s="68"/>
      <c r="ZW142" s="68"/>
      <c r="ZX142" s="68"/>
      <c r="ZY142" s="68"/>
      <c r="ZZ142" s="68"/>
      <c r="AAA142" s="68"/>
      <c r="AAB142" s="68"/>
      <c r="AAC142" s="68"/>
      <c r="AAD142" s="68"/>
      <c r="AAE142" s="68"/>
      <c r="AAF142" s="68"/>
      <c r="AAG142" s="68"/>
      <c r="AAH142" s="68"/>
      <c r="AAI142" s="68"/>
      <c r="AAJ142" s="68"/>
      <c r="AAK142" s="68"/>
      <c r="AAL142" s="68"/>
      <c r="AAM142" s="68"/>
      <c r="AAN142" s="68"/>
      <c r="AAO142" s="68"/>
      <c r="AAP142" s="68"/>
      <c r="AAQ142" s="68"/>
      <c r="AAR142" s="68"/>
      <c r="AAS142" s="68"/>
      <c r="AAT142" s="68"/>
      <c r="AAU142" s="68"/>
      <c r="AAV142" s="68"/>
      <c r="AAW142" s="68"/>
      <c r="AAX142" s="68"/>
      <c r="AAY142" s="68"/>
      <c r="AAZ142" s="68"/>
      <c r="ABA142" s="68"/>
      <c r="ABB142" s="68"/>
      <c r="ABC142" s="68"/>
      <c r="ABD142" s="68"/>
      <c r="ABE142" s="68"/>
      <c r="ABF142" s="68"/>
      <c r="ABG142" s="68"/>
      <c r="ABH142" s="68"/>
      <c r="ABI142" s="68"/>
      <c r="ABJ142" s="68"/>
      <c r="ABK142" s="68"/>
      <c r="ABL142" s="68"/>
      <c r="ABM142" s="68"/>
      <c r="ABN142" s="68"/>
      <c r="ABO142" s="68"/>
      <c r="ABP142" s="68"/>
      <c r="ABQ142" s="68"/>
      <c r="ABR142" s="68"/>
      <c r="ABS142" s="68"/>
      <c r="ABT142" s="68"/>
      <c r="ABU142" s="68"/>
      <c r="ABV142" s="68"/>
      <c r="ABW142" s="68"/>
      <c r="ABX142" s="68"/>
      <c r="ABY142" s="68"/>
      <c r="ABZ142" s="68"/>
      <c r="ACA142" s="68"/>
      <c r="ACB142" s="68"/>
      <c r="ACC142" s="68"/>
      <c r="ACD142" s="68"/>
      <c r="ACE142" s="68"/>
      <c r="ACF142" s="68"/>
      <c r="ACG142" s="68"/>
      <c r="ACH142" s="68"/>
      <c r="ACI142" s="68"/>
      <c r="ACJ142" s="68"/>
      <c r="ACK142" s="68"/>
      <c r="ACL142" s="68"/>
      <c r="ACM142" s="68"/>
      <c r="ACN142" s="68"/>
      <c r="ACO142" s="68"/>
      <c r="ACP142" s="68"/>
      <c r="ACQ142" s="68"/>
      <c r="ACR142" s="68"/>
      <c r="ACS142" s="68"/>
      <c r="ACT142" s="68"/>
      <c r="ACU142" s="68"/>
      <c r="ACV142" s="68"/>
      <c r="ACW142" s="68"/>
      <c r="ACX142" s="68"/>
      <c r="ACY142" s="68"/>
      <c r="ACZ142" s="68"/>
      <c r="ADA142" s="68"/>
      <c r="ADB142" s="68"/>
      <c r="ADC142" s="68"/>
      <c r="ADD142" s="68"/>
      <c r="ADE142" s="68"/>
      <c r="ADF142" s="68"/>
      <c r="ADG142" s="68"/>
      <c r="ADH142" s="68"/>
      <c r="ADI142" s="68"/>
      <c r="ADJ142" s="68"/>
      <c r="ADK142" s="68"/>
      <c r="ADL142" s="68"/>
      <c r="ADM142" s="68"/>
      <c r="ADN142" s="68"/>
      <c r="ADO142" s="68"/>
      <c r="ADP142" s="68"/>
      <c r="ADQ142" s="68"/>
      <c r="ADR142" s="68"/>
      <c r="ADS142" s="68"/>
      <c r="ADT142" s="68"/>
      <c r="ADU142" s="68"/>
      <c r="ADV142" s="68"/>
      <c r="ADW142" s="68"/>
      <c r="ADX142" s="68"/>
      <c r="ADY142" s="68"/>
      <c r="ADZ142" s="68"/>
      <c r="AEA142" s="68"/>
      <c r="AEB142" s="68"/>
      <c r="AEC142" s="68"/>
      <c r="AED142" s="68"/>
      <c r="AEE142" s="68"/>
      <c r="AEF142" s="68"/>
      <c r="AEG142" s="68"/>
      <c r="AEH142" s="68"/>
      <c r="AEI142" s="68"/>
      <c r="AEJ142" s="68"/>
      <c r="AEK142" s="68"/>
      <c r="AEL142" s="68"/>
      <c r="AEM142" s="68"/>
      <c r="AEN142" s="68"/>
      <c r="AEO142" s="68"/>
      <c r="AEP142" s="68"/>
      <c r="AEQ142" s="68"/>
      <c r="AER142" s="68"/>
      <c r="AES142" s="68"/>
      <c r="AET142" s="68"/>
      <c r="AEU142" s="68"/>
      <c r="AEV142" s="68"/>
      <c r="AEW142" s="68"/>
      <c r="AEX142" s="68"/>
      <c r="AEY142" s="68"/>
      <c r="AEZ142" s="68"/>
      <c r="AFA142" s="68"/>
      <c r="AFB142" s="68"/>
      <c r="AFC142" s="68"/>
      <c r="AFD142" s="68"/>
      <c r="AFE142" s="68"/>
      <c r="AFF142" s="68"/>
      <c r="AFG142" s="68"/>
      <c r="AFH142" s="68"/>
      <c r="AFI142" s="68"/>
      <c r="AFJ142" s="68"/>
      <c r="AFK142" s="68"/>
      <c r="AFL142" s="68"/>
      <c r="AFM142" s="68"/>
      <c r="AFN142" s="68"/>
      <c r="AFO142" s="68"/>
      <c r="AFP142" s="68"/>
      <c r="AFQ142" s="68"/>
      <c r="AFR142" s="68"/>
      <c r="AFS142" s="68"/>
      <c r="AFT142" s="68"/>
      <c r="AFU142" s="68"/>
      <c r="AFV142" s="68"/>
      <c r="AFW142" s="68"/>
      <c r="AFX142" s="68"/>
      <c r="AFY142" s="68"/>
      <c r="AFZ142" s="68"/>
      <c r="AGA142" s="68"/>
      <c r="AGB142" s="68"/>
      <c r="AGC142" s="68"/>
      <c r="AGD142" s="68"/>
      <c r="AGE142" s="68"/>
      <c r="AGF142" s="68"/>
      <c r="AGG142" s="68"/>
      <c r="AGH142" s="68"/>
      <c r="AGI142" s="68"/>
      <c r="AGJ142" s="68"/>
      <c r="AGK142" s="68"/>
      <c r="AGL142" s="68"/>
      <c r="AGM142" s="68"/>
      <c r="AGN142" s="68"/>
      <c r="AGO142" s="68"/>
      <c r="AGP142" s="68"/>
      <c r="AGQ142" s="68"/>
      <c r="AGR142" s="68"/>
      <c r="AGS142" s="68"/>
      <c r="AGT142" s="68"/>
      <c r="AGU142" s="68"/>
      <c r="AGV142" s="68"/>
      <c r="AGW142" s="68"/>
      <c r="AGX142" s="68"/>
      <c r="AGY142" s="68"/>
      <c r="AGZ142" s="68"/>
      <c r="AHA142" s="68"/>
      <c r="AHB142" s="68"/>
      <c r="AHC142" s="68"/>
      <c r="AHD142" s="68"/>
      <c r="AHE142" s="68"/>
      <c r="AHF142" s="68"/>
      <c r="AHG142" s="68"/>
      <c r="AHH142" s="68"/>
      <c r="AHI142" s="68"/>
      <c r="AHJ142" s="68"/>
      <c r="AHK142" s="68"/>
      <c r="AHL142" s="68"/>
      <c r="AHM142" s="68"/>
      <c r="AHN142" s="68"/>
      <c r="AHO142" s="68"/>
      <c r="AHP142" s="68"/>
      <c r="AHQ142" s="68"/>
      <c r="AHR142" s="68"/>
      <c r="AHS142" s="68"/>
      <c r="AHT142" s="68"/>
      <c r="AHU142" s="68"/>
      <c r="AHV142" s="68"/>
      <c r="AHW142" s="68"/>
      <c r="AHX142" s="68"/>
      <c r="AHY142" s="68"/>
      <c r="AHZ142" s="68"/>
      <c r="AIA142" s="68"/>
      <c r="AIB142" s="68"/>
      <c r="AIC142" s="68"/>
      <c r="AID142" s="68"/>
      <c r="AIE142" s="68"/>
      <c r="AIF142" s="68"/>
      <c r="AIG142" s="68"/>
      <c r="AIH142" s="68"/>
      <c r="AII142" s="68"/>
      <c r="AIJ142" s="68"/>
      <c r="AIK142" s="68"/>
      <c r="AIL142" s="68"/>
      <c r="AIM142" s="68"/>
      <c r="AIN142" s="68"/>
      <c r="AIO142" s="68"/>
      <c r="AIP142" s="68"/>
      <c r="AIQ142" s="68"/>
      <c r="AIR142" s="68"/>
      <c r="AIS142" s="68"/>
      <c r="AIT142" s="68"/>
      <c r="AIU142" s="68"/>
      <c r="AIV142" s="68"/>
      <c r="AIW142" s="68"/>
      <c r="AIX142" s="68"/>
      <c r="AIY142" s="68"/>
      <c r="AIZ142" s="68"/>
      <c r="AJA142" s="68"/>
      <c r="AJB142" s="68"/>
      <c r="AJC142" s="68"/>
    </row>
    <row r="143" spans="1:939" s="85" customFormat="1" ht="15.75" customHeight="1" x14ac:dyDescent="0.25">
      <c r="A143" s="431" t="s">
        <v>162</v>
      </c>
      <c r="B143" s="432"/>
      <c r="C143" s="489"/>
      <c r="D143" s="465" t="s">
        <v>30</v>
      </c>
      <c r="E143" s="492"/>
      <c r="F143" s="492"/>
      <c r="G143" s="492"/>
      <c r="H143" s="492"/>
      <c r="I143" s="492"/>
      <c r="J143" s="492"/>
      <c r="K143" s="492"/>
      <c r="L143" s="492"/>
      <c r="M143" s="170"/>
      <c r="N143" s="141">
        <f t="shared" ref="N143:U146" si="25">N47+N58+N69+N100+N110+N139</f>
        <v>340755742.28000003</v>
      </c>
      <c r="O143" s="141">
        <f t="shared" si="25"/>
        <v>0</v>
      </c>
      <c r="P143" s="141">
        <f t="shared" si="25"/>
        <v>141907286.36000001</v>
      </c>
      <c r="Q143" s="141">
        <f t="shared" si="25"/>
        <v>0</v>
      </c>
      <c r="R143" s="141">
        <f t="shared" si="25"/>
        <v>50627856.139612287</v>
      </c>
      <c r="S143" s="141">
        <f t="shared" si="25"/>
        <v>19389223.196404777</v>
      </c>
      <c r="T143" s="141">
        <f t="shared" si="25"/>
        <v>91279430.220387712</v>
      </c>
      <c r="U143" s="141">
        <f t="shared" si="25"/>
        <v>0</v>
      </c>
      <c r="V143" s="171"/>
      <c r="W143" s="84"/>
      <c r="X143" s="47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  <c r="BQ143" s="68"/>
      <c r="BR143" s="68"/>
      <c r="BS143" s="68"/>
      <c r="BT143" s="68"/>
      <c r="BU143" s="68"/>
      <c r="BV143" s="68"/>
      <c r="BW143" s="68"/>
      <c r="BX143" s="68"/>
      <c r="BY143" s="68"/>
      <c r="BZ143" s="68"/>
      <c r="CA143" s="68"/>
      <c r="CB143" s="68"/>
      <c r="CC143" s="68"/>
      <c r="CD143" s="68"/>
      <c r="CE143" s="68"/>
      <c r="CF143" s="68"/>
      <c r="CG143" s="68"/>
      <c r="CH143" s="68"/>
      <c r="CI143" s="68"/>
      <c r="CJ143" s="68"/>
      <c r="CK143" s="68"/>
      <c r="CL143" s="68"/>
      <c r="CM143" s="68"/>
      <c r="CN143" s="68"/>
      <c r="CO143" s="68"/>
      <c r="CP143" s="68"/>
      <c r="CQ143" s="68"/>
      <c r="CR143" s="68"/>
      <c r="CS143" s="68"/>
      <c r="CT143" s="68"/>
      <c r="CU143" s="68"/>
      <c r="CV143" s="68"/>
      <c r="CW143" s="68"/>
      <c r="CX143" s="68"/>
      <c r="CY143" s="68"/>
      <c r="CZ143" s="68"/>
      <c r="DA143" s="68"/>
      <c r="DB143" s="68"/>
      <c r="DC143" s="68"/>
      <c r="DD143" s="68"/>
      <c r="DE143" s="68"/>
      <c r="DF143" s="68"/>
      <c r="DG143" s="68"/>
      <c r="DH143" s="68"/>
      <c r="DI143" s="68"/>
      <c r="DJ143" s="68"/>
      <c r="DK143" s="68"/>
      <c r="DL143" s="68"/>
      <c r="DM143" s="68"/>
      <c r="DN143" s="68"/>
      <c r="DO143" s="68"/>
      <c r="DP143" s="68"/>
      <c r="DQ143" s="68"/>
      <c r="DR143" s="68"/>
      <c r="DS143" s="68"/>
      <c r="DT143" s="68"/>
      <c r="DU143" s="68"/>
      <c r="DV143" s="68"/>
      <c r="DW143" s="68"/>
      <c r="DX143" s="68"/>
      <c r="DY143" s="68"/>
      <c r="DZ143" s="68"/>
      <c r="EA143" s="68"/>
      <c r="EB143" s="68"/>
      <c r="EC143" s="68"/>
      <c r="ED143" s="68"/>
      <c r="EE143" s="68"/>
      <c r="EF143" s="68"/>
      <c r="EG143" s="68"/>
      <c r="EH143" s="68"/>
      <c r="EI143" s="68"/>
      <c r="EJ143" s="68"/>
      <c r="EK143" s="68"/>
      <c r="EL143" s="68"/>
      <c r="EM143" s="68"/>
      <c r="EN143" s="68"/>
      <c r="EO143" s="68"/>
      <c r="EP143" s="68"/>
      <c r="EQ143" s="68"/>
      <c r="ER143" s="68"/>
      <c r="ES143" s="68"/>
      <c r="ET143" s="68"/>
      <c r="EU143" s="68"/>
      <c r="EV143" s="68"/>
      <c r="EW143" s="68"/>
      <c r="EX143" s="68"/>
      <c r="EY143" s="68"/>
      <c r="EZ143" s="68"/>
      <c r="FA143" s="68"/>
      <c r="FB143" s="68"/>
      <c r="FC143" s="68"/>
      <c r="FD143" s="68"/>
      <c r="FE143" s="68"/>
      <c r="FF143" s="68"/>
      <c r="FG143" s="68"/>
      <c r="FH143" s="68"/>
      <c r="FI143" s="68"/>
      <c r="FJ143" s="68"/>
      <c r="FK143" s="68"/>
      <c r="FL143" s="68"/>
      <c r="FM143" s="68"/>
      <c r="FN143" s="68"/>
      <c r="FO143" s="68"/>
      <c r="FP143" s="68"/>
      <c r="FQ143" s="68"/>
      <c r="FR143" s="68"/>
      <c r="FS143" s="68"/>
      <c r="FT143" s="68"/>
      <c r="FU143" s="68"/>
      <c r="FV143" s="68"/>
      <c r="FW143" s="68"/>
      <c r="FX143" s="68"/>
      <c r="FY143" s="68"/>
      <c r="FZ143" s="68"/>
      <c r="GA143" s="68"/>
      <c r="GB143" s="68"/>
      <c r="GC143" s="68"/>
      <c r="GD143" s="68"/>
      <c r="GE143" s="68"/>
      <c r="GF143" s="68"/>
      <c r="GG143" s="68"/>
      <c r="GH143" s="68"/>
      <c r="GI143" s="68"/>
      <c r="GJ143" s="68"/>
      <c r="GK143" s="68"/>
      <c r="GL143" s="68"/>
      <c r="GM143" s="68"/>
      <c r="GN143" s="68"/>
      <c r="GO143" s="68"/>
      <c r="GP143" s="68"/>
      <c r="GQ143" s="68"/>
      <c r="GR143" s="68"/>
      <c r="GS143" s="68"/>
      <c r="GT143" s="68"/>
      <c r="GU143" s="68"/>
      <c r="GV143" s="68"/>
      <c r="GW143" s="68"/>
      <c r="GX143" s="68"/>
      <c r="GY143" s="68"/>
      <c r="GZ143" s="68"/>
      <c r="HA143" s="68"/>
      <c r="HB143" s="68"/>
      <c r="HC143" s="68"/>
      <c r="HD143" s="68"/>
      <c r="HE143" s="68"/>
      <c r="HF143" s="68"/>
      <c r="HG143" s="68"/>
      <c r="HH143" s="68"/>
      <c r="HI143" s="68"/>
      <c r="HJ143" s="68"/>
      <c r="HK143" s="68"/>
      <c r="HL143" s="68"/>
      <c r="HM143" s="68"/>
      <c r="HN143" s="68"/>
      <c r="HO143" s="68"/>
      <c r="HP143" s="68"/>
      <c r="HQ143" s="68"/>
      <c r="HR143" s="68"/>
      <c r="HS143" s="68"/>
      <c r="HT143" s="68"/>
      <c r="HU143" s="68"/>
      <c r="HV143" s="68"/>
      <c r="HW143" s="68"/>
      <c r="HX143" s="68"/>
      <c r="HY143" s="68"/>
      <c r="HZ143" s="68"/>
      <c r="IA143" s="68"/>
      <c r="IB143" s="68"/>
      <c r="IC143" s="68"/>
      <c r="ID143" s="68"/>
      <c r="IE143" s="68"/>
      <c r="IF143" s="68"/>
      <c r="IG143" s="68"/>
      <c r="IH143" s="68"/>
      <c r="II143" s="68"/>
      <c r="IJ143" s="68"/>
      <c r="IK143" s="68"/>
      <c r="IL143" s="68"/>
      <c r="IM143" s="68"/>
      <c r="IN143" s="68"/>
      <c r="IO143" s="68"/>
      <c r="IP143" s="68"/>
      <c r="IQ143" s="68"/>
      <c r="IR143" s="68"/>
      <c r="IS143" s="68"/>
      <c r="IT143" s="68"/>
      <c r="IU143" s="68"/>
      <c r="IV143" s="68"/>
      <c r="IW143" s="68"/>
      <c r="IX143" s="68"/>
      <c r="IY143" s="68"/>
      <c r="IZ143" s="68"/>
      <c r="JA143" s="68"/>
      <c r="JB143" s="68"/>
      <c r="JC143" s="68"/>
      <c r="JD143" s="68"/>
      <c r="JE143" s="68"/>
      <c r="JF143" s="68"/>
      <c r="JG143" s="68"/>
      <c r="JH143" s="68"/>
      <c r="JI143" s="68"/>
      <c r="JJ143" s="68"/>
      <c r="JK143" s="68"/>
      <c r="JL143" s="68"/>
      <c r="JM143" s="68"/>
      <c r="JN143" s="68"/>
      <c r="JO143" s="68"/>
      <c r="JP143" s="68"/>
      <c r="JQ143" s="68"/>
      <c r="JR143" s="68"/>
      <c r="JS143" s="68"/>
      <c r="JT143" s="68"/>
      <c r="JU143" s="68"/>
      <c r="JV143" s="68"/>
      <c r="JW143" s="68"/>
      <c r="JX143" s="68"/>
      <c r="JY143" s="68"/>
      <c r="JZ143" s="68"/>
      <c r="KA143" s="68"/>
      <c r="KB143" s="68"/>
      <c r="KC143" s="68"/>
      <c r="KD143" s="68"/>
      <c r="KE143" s="68"/>
      <c r="KF143" s="68"/>
      <c r="KG143" s="68"/>
      <c r="KH143" s="68"/>
      <c r="KI143" s="68"/>
      <c r="KJ143" s="68"/>
      <c r="KK143" s="68"/>
      <c r="KL143" s="68"/>
      <c r="KM143" s="68"/>
      <c r="KN143" s="68"/>
      <c r="KO143" s="68"/>
      <c r="KP143" s="68"/>
      <c r="KQ143" s="68"/>
      <c r="KR143" s="68"/>
      <c r="KS143" s="68"/>
      <c r="KT143" s="68"/>
      <c r="KU143" s="68"/>
      <c r="KV143" s="68"/>
      <c r="KW143" s="68"/>
      <c r="KX143" s="68"/>
      <c r="KY143" s="68"/>
      <c r="KZ143" s="68"/>
      <c r="LA143" s="68"/>
      <c r="LB143" s="68"/>
      <c r="LC143" s="68"/>
      <c r="LD143" s="68"/>
      <c r="LE143" s="68"/>
      <c r="LF143" s="68"/>
      <c r="LG143" s="68"/>
      <c r="LH143" s="68"/>
      <c r="LI143" s="68"/>
      <c r="LJ143" s="68"/>
      <c r="LK143" s="68"/>
      <c r="LL143" s="68"/>
      <c r="LM143" s="68"/>
      <c r="LN143" s="68"/>
      <c r="LO143" s="68"/>
      <c r="LP143" s="68"/>
      <c r="LQ143" s="68"/>
      <c r="LR143" s="68"/>
      <c r="LS143" s="68"/>
      <c r="LT143" s="68"/>
      <c r="LU143" s="68"/>
      <c r="LV143" s="68"/>
      <c r="LW143" s="68"/>
      <c r="LX143" s="68"/>
      <c r="LY143" s="68"/>
      <c r="LZ143" s="68"/>
      <c r="MA143" s="68"/>
      <c r="MB143" s="68"/>
      <c r="MC143" s="68"/>
      <c r="MD143" s="68"/>
      <c r="ME143" s="68"/>
      <c r="MF143" s="68"/>
      <c r="MG143" s="68"/>
      <c r="MH143" s="68"/>
      <c r="MI143" s="68"/>
      <c r="MJ143" s="68"/>
      <c r="MK143" s="68"/>
      <c r="ML143" s="68"/>
      <c r="MM143" s="68"/>
      <c r="MN143" s="68"/>
      <c r="MO143" s="68"/>
      <c r="MP143" s="68"/>
      <c r="MQ143" s="68"/>
      <c r="MR143" s="68"/>
      <c r="MS143" s="68"/>
      <c r="MT143" s="68"/>
      <c r="MU143" s="68"/>
      <c r="MV143" s="68"/>
      <c r="MW143" s="68"/>
      <c r="MX143" s="68"/>
      <c r="MY143" s="68"/>
      <c r="MZ143" s="68"/>
      <c r="NA143" s="68"/>
      <c r="NB143" s="68"/>
      <c r="NC143" s="68"/>
      <c r="ND143" s="68"/>
      <c r="NE143" s="68"/>
      <c r="NF143" s="68"/>
      <c r="NG143" s="68"/>
      <c r="NH143" s="68"/>
      <c r="NI143" s="68"/>
      <c r="NJ143" s="68"/>
      <c r="NK143" s="68"/>
      <c r="NL143" s="68"/>
      <c r="NM143" s="68"/>
      <c r="NN143" s="68"/>
      <c r="NO143" s="68"/>
      <c r="NP143" s="68"/>
      <c r="NQ143" s="68"/>
      <c r="NR143" s="68"/>
      <c r="NS143" s="68"/>
      <c r="NT143" s="68"/>
      <c r="NU143" s="68"/>
      <c r="NV143" s="68"/>
      <c r="NW143" s="68"/>
      <c r="NX143" s="68"/>
      <c r="NY143" s="68"/>
      <c r="NZ143" s="68"/>
      <c r="OA143" s="68"/>
      <c r="OB143" s="68"/>
      <c r="OC143" s="68"/>
      <c r="OD143" s="68"/>
      <c r="OE143" s="68"/>
      <c r="OF143" s="68"/>
      <c r="OG143" s="68"/>
      <c r="OH143" s="68"/>
      <c r="OI143" s="68"/>
      <c r="OJ143" s="68"/>
      <c r="OK143" s="68"/>
      <c r="OL143" s="68"/>
      <c r="OM143" s="68"/>
      <c r="ON143" s="68"/>
      <c r="OO143" s="68"/>
      <c r="OP143" s="68"/>
      <c r="OQ143" s="68"/>
      <c r="OR143" s="68"/>
      <c r="OS143" s="68"/>
      <c r="OT143" s="68"/>
      <c r="OU143" s="68"/>
      <c r="OV143" s="68"/>
      <c r="OW143" s="68"/>
      <c r="OX143" s="68"/>
      <c r="OY143" s="68"/>
      <c r="OZ143" s="68"/>
      <c r="PA143" s="68"/>
      <c r="PB143" s="68"/>
      <c r="PC143" s="68"/>
      <c r="PD143" s="68"/>
      <c r="PE143" s="68"/>
      <c r="PF143" s="68"/>
      <c r="PG143" s="68"/>
      <c r="PH143" s="68"/>
      <c r="PI143" s="68"/>
      <c r="PJ143" s="68"/>
      <c r="PK143" s="68"/>
      <c r="PL143" s="68"/>
      <c r="PM143" s="68"/>
      <c r="PN143" s="68"/>
      <c r="PO143" s="68"/>
      <c r="PP143" s="68"/>
      <c r="PQ143" s="68"/>
      <c r="PR143" s="68"/>
      <c r="PS143" s="68"/>
      <c r="PT143" s="68"/>
      <c r="PU143" s="68"/>
      <c r="PV143" s="68"/>
      <c r="PW143" s="68"/>
      <c r="PX143" s="68"/>
      <c r="PY143" s="68"/>
      <c r="PZ143" s="68"/>
      <c r="QA143" s="68"/>
      <c r="QB143" s="68"/>
      <c r="QC143" s="68"/>
      <c r="QD143" s="68"/>
      <c r="QE143" s="68"/>
      <c r="QF143" s="68"/>
      <c r="QG143" s="68"/>
      <c r="QH143" s="68"/>
      <c r="QI143" s="68"/>
      <c r="QJ143" s="68"/>
      <c r="QK143" s="68"/>
      <c r="QL143" s="68"/>
      <c r="QM143" s="68"/>
      <c r="QN143" s="68"/>
      <c r="QO143" s="68"/>
      <c r="QP143" s="68"/>
      <c r="QQ143" s="68"/>
      <c r="QR143" s="68"/>
      <c r="QS143" s="68"/>
      <c r="QT143" s="68"/>
      <c r="QU143" s="68"/>
      <c r="QV143" s="68"/>
      <c r="QW143" s="68"/>
      <c r="QX143" s="68"/>
      <c r="QY143" s="68"/>
      <c r="QZ143" s="68"/>
      <c r="RA143" s="68"/>
      <c r="RB143" s="68"/>
      <c r="RC143" s="68"/>
      <c r="RD143" s="68"/>
      <c r="RE143" s="68"/>
      <c r="RF143" s="68"/>
      <c r="RG143" s="68"/>
      <c r="RH143" s="68"/>
      <c r="RI143" s="68"/>
      <c r="RJ143" s="68"/>
      <c r="RK143" s="68"/>
      <c r="RL143" s="68"/>
      <c r="RM143" s="68"/>
      <c r="RN143" s="68"/>
      <c r="RO143" s="68"/>
      <c r="RP143" s="68"/>
      <c r="RQ143" s="68"/>
      <c r="RR143" s="68"/>
      <c r="RS143" s="68"/>
      <c r="RT143" s="68"/>
      <c r="RU143" s="68"/>
      <c r="RV143" s="68"/>
      <c r="RW143" s="68"/>
      <c r="RX143" s="68"/>
      <c r="RY143" s="68"/>
      <c r="RZ143" s="68"/>
      <c r="SA143" s="68"/>
      <c r="SB143" s="68"/>
      <c r="SC143" s="68"/>
      <c r="SD143" s="68"/>
      <c r="SE143" s="68"/>
      <c r="SF143" s="68"/>
      <c r="SG143" s="68"/>
      <c r="SH143" s="68"/>
      <c r="SI143" s="68"/>
      <c r="SJ143" s="68"/>
      <c r="SK143" s="68"/>
      <c r="SL143" s="68"/>
      <c r="SM143" s="68"/>
      <c r="SN143" s="68"/>
      <c r="SO143" s="68"/>
      <c r="SP143" s="68"/>
      <c r="SQ143" s="68"/>
      <c r="SR143" s="68"/>
      <c r="SS143" s="68"/>
      <c r="ST143" s="68"/>
      <c r="SU143" s="68"/>
      <c r="SV143" s="68"/>
      <c r="SW143" s="68"/>
      <c r="SX143" s="68"/>
      <c r="SY143" s="68"/>
      <c r="SZ143" s="68"/>
      <c r="TA143" s="68"/>
      <c r="TB143" s="68"/>
      <c r="TC143" s="68"/>
      <c r="TD143" s="68"/>
      <c r="TE143" s="68"/>
      <c r="TF143" s="68"/>
      <c r="TG143" s="68"/>
      <c r="TH143" s="68"/>
      <c r="TI143" s="68"/>
      <c r="TJ143" s="68"/>
      <c r="TK143" s="68"/>
      <c r="TL143" s="68"/>
      <c r="TM143" s="68"/>
      <c r="TN143" s="68"/>
      <c r="TO143" s="68"/>
      <c r="TP143" s="68"/>
      <c r="TQ143" s="68"/>
      <c r="TR143" s="68"/>
      <c r="TS143" s="68"/>
      <c r="TT143" s="68"/>
      <c r="TU143" s="68"/>
      <c r="TV143" s="68"/>
      <c r="TW143" s="68"/>
      <c r="TX143" s="68"/>
      <c r="TY143" s="68"/>
      <c r="TZ143" s="68"/>
      <c r="UA143" s="68"/>
      <c r="UB143" s="68"/>
      <c r="UC143" s="68"/>
      <c r="UD143" s="68"/>
      <c r="UE143" s="68"/>
      <c r="UF143" s="68"/>
      <c r="UG143" s="68"/>
      <c r="UH143" s="68"/>
      <c r="UI143" s="68"/>
      <c r="UJ143" s="68"/>
      <c r="UK143" s="68"/>
      <c r="UL143" s="68"/>
      <c r="UM143" s="68"/>
      <c r="UN143" s="68"/>
      <c r="UO143" s="68"/>
      <c r="UP143" s="68"/>
      <c r="UQ143" s="68"/>
      <c r="UR143" s="68"/>
      <c r="US143" s="68"/>
      <c r="UT143" s="68"/>
      <c r="UU143" s="68"/>
      <c r="UV143" s="68"/>
      <c r="UW143" s="68"/>
      <c r="UX143" s="68"/>
      <c r="UY143" s="68"/>
      <c r="UZ143" s="68"/>
      <c r="VA143" s="68"/>
      <c r="VB143" s="68"/>
      <c r="VC143" s="68"/>
      <c r="VD143" s="68"/>
      <c r="VE143" s="68"/>
      <c r="VF143" s="68"/>
      <c r="VG143" s="68"/>
      <c r="VH143" s="68"/>
      <c r="VI143" s="68"/>
      <c r="VJ143" s="68"/>
      <c r="VK143" s="68"/>
      <c r="VL143" s="68"/>
      <c r="VM143" s="68"/>
      <c r="VN143" s="68"/>
      <c r="VO143" s="68"/>
      <c r="VP143" s="68"/>
      <c r="VQ143" s="68"/>
      <c r="VR143" s="68"/>
      <c r="VS143" s="68"/>
      <c r="VT143" s="68"/>
      <c r="VU143" s="68"/>
      <c r="VV143" s="68"/>
      <c r="VW143" s="68"/>
      <c r="VX143" s="68"/>
      <c r="VY143" s="68"/>
      <c r="VZ143" s="68"/>
      <c r="WA143" s="68"/>
      <c r="WB143" s="68"/>
      <c r="WC143" s="68"/>
      <c r="WD143" s="68"/>
      <c r="WE143" s="68"/>
      <c r="WF143" s="68"/>
      <c r="WG143" s="68"/>
      <c r="WH143" s="68"/>
      <c r="WI143" s="68"/>
      <c r="WJ143" s="68"/>
      <c r="WK143" s="68"/>
      <c r="WL143" s="68"/>
      <c r="WM143" s="68"/>
      <c r="WN143" s="68"/>
      <c r="WO143" s="68"/>
      <c r="WP143" s="68"/>
      <c r="WQ143" s="68"/>
      <c r="WR143" s="68"/>
      <c r="WS143" s="68"/>
      <c r="WT143" s="68"/>
      <c r="WU143" s="68"/>
      <c r="WV143" s="68"/>
      <c r="WW143" s="68"/>
      <c r="WX143" s="68"/>
      <c r="WY143" s="68"/>
      <c r="WZ143" s="68"/>
      <c r="XA143" s="68"/>
      <c r="XB143" s="68"/>
      <c r="XC143" s="68"/>
      <c r="XD143" s="68"/>
      <c r="XE143" s="68"/>
      <c r="XF143" s="68"/>
      <c r="XG143" s="68"/>
      <c r="XH143" s="68"/>
      <c r="XI143" s="68"/>
      <c r="XJ143" s="68"/>
      <c r="XK143" s="68"/>
      <c r="XL143" s="68"/>
      <c r="XM143" s="68"/>
      <c r="XN143" s="68"/>
      <c r="XO143" s="68"/>
      <c r="XP143" s="68"/>
      <c r="XQ143" s="68"/>
      <c r="XR143" s="68"/>
      <c r="XS143" s="68"/>
      <c r="XT143" s="68"/>
      <c r="XU143" s="68"/>
      <c r="XV143" s="68"/>
      <c r="XW143" s="68"/>
      <c r="XX143" s="68"/>
      <c r="XY143" s="68"/>
      <c r="XZ143" s="68"/>
      <c r="YA143" s="68"/>
      <c r="YB143" s="68"/>
      <c r="YC143" s="68"/>
      <c r="YD143" s="68"/>
      <c r="YE143" s="68"/>
      <c r="YF143" s="68"/>
      <c r="YG143" s="68"/>
      <c r="YH143" s="68"/>
      <c r="YI143" s="68"/>
      <c r="YJ143" s="68"/>
      <c r="YK143" s="68"/>
      <c r="YL143" s="68"/>
      <c r="YM143" s="68"/>
      <c r="YN143" s="68"/>
      <c r="YO143" s="68"/>
      <c r="YP143" s="68"/>
      <c r="YQ143" s="68"/>
      <c r="YR143" s="68"/>
      <c r="YS143" s="68"/>
      <c r="YT143" s="68"/>
      <c r="YU143" s="68"/>
      <c r="YV143" s="68"/>
      <c r="YW143" s="68"/>
      <c r="YX143" s="68"/>
      <c r="YY143" s="68"/>
      <c r="YZ143" s="68"/>
      <c r="ZA143" s="68"/>
      <c r="ZB143" s="68"/>
      <c r="ZC143" s="68"/>
      <c r="ZD143" s="68"/>
      <c r="ZE143" s="68"/>
      <c r="ZF143" s="68"/>
      <c r="ZG143" s="68"/>
      <c r="ZH143" s="68"/>
      <c r="ZI143" s="68"/>
      <c r="ZJ143" s="68"/>
      <c r="ZK143" s="68"/>
      <c r="ZL143" s="68"/>
      <c r="ZM143" s="68"/>
      <c r="ZN143" s="68"/>
      <c r="ZO143" s="68"/>
      <c r="ZP143" s="68"/>
      <c r="ZQ143" s="68"/>
      <c r="ZR143" s="68"/>
      <c r="ZS143" s="68"/>
      <c r="ZT143" s="68"/>
      <c r="ZU143" s="68"/>
      <c r="ZV143" s="68"/>
      <c r="ZW143" s="68"/>
      <c r="ZX143" s="68"/>
      <c r="ZY143" s="68"/>
      <c r="ZZ143" s="68"/>
      <c r="AAA143" s="68"/>
      <c r="AAB143" s="68"/>
      <c r="AAC143" s="68"/>
      <c r="AAD143" s="68"/>
      <c r="AAE143" s="68"/>
      <c r="AAF143" s="68"/>
      <c r="AAG143" s="68"/>
      <c r="AAH143" s="68"/>
      <c r="AAI143" s="68"/>
      <c r="AAJ143" s="68"/>
      <c r="AAK143" s="68"/>
      <c r="AAL143" s="68"/>
      <c r="AAM143" s="68"/>
      <c r="AAN143" s="68"/>
      <c r="AAO143" s="68"/>
      <c r="AAP143" s="68"/>
      <c r="AAQ143" s="68"/>
      <c r="AAR143" s="68"/>
      <c r="AAS143" s="68"/>
      <c r="AAT143" s="68"/>
      <c r="AAU143" s="68"/>
      <c r="AAV143" s="68"/>
      <c r="AAW143" s="68"/>
      <c r="AAX143" s="68"/>
      <c r="AAY143" s="68"/>
      <c r="AAZ143" s="68"/>
      <c r="ABA143" s="68"/>
      <c r="ABB143" s="68"/>
      <c r="ABC143" s="68"/>
      <c r="ABD143" s="68"/>
      <c r="ABE143" s="68"/>
      <c r="ABF143" s="68"/>
      <c r="ABG143" s="68"/>
      <c r="ABH143" s="68"/>
      <c r="ABI143" s="68"/>
      <c r="ABJ143" s="68"/>
      <c r="ABK143" s="68"/>
      <c r="ABL143" s="68"/>
      <c r="ABM143" s="68"/>
      <c r="ABN143" s="68"/>
      <c r="ABO143" s="68"/>
      <c r="ABP143" s="68"/>
      <c r="ABQ143" s="68"/>
      <c r="ABR143" s="68"/>
      <c r="ABS143" s="68"/>
      <c r="ABT143" s="68"/>
      <c r="ABU143" s="68"/>
      <c r="ABV143" s="68"/>
      <c r="ABW143" s="68"/>
      <c r="ABX143" s="68"/>
      <c r="ABY143" s="68"/>
      <c r="ABZ143" s="68"/>
      <c r="ACA143" s="68"/>
      <c r="ACB143" s="68"/>
      <c r="ACC143" s="68"/>
      <c r="ACD143" s="68"/>
      <c r="ACE143" s="68"/>
      <c r="ACF143" s="68"/>
      <c r="ACG143" s="68"/>
      <c r="ACH143" s="68"/>
      <c r="ACI143" s="68"/>
      <c r="ACJ143" s="68"/>
      <c r="ACK143" s="68"/>
      <c r="ACL143" s="68"/>
      <c r="ACM143" s="68"/>
      <c r="ACN143" s="68"/>
      <c r="ACO143" s="68"/>
      <c r="ACP143" s="68"/>
      <c r="ACQ143" s="68"/>
      <c r="ACR143" s="68"/>
      <c r="ACS143" s="68"/>
      <c r="ACT143" s="68"/>
      <c r="ACU143" s="68"/>
      <c r="ACV143" s="68"/>
      <c r="ACW143" s="68"/>
      <c r="ACX143" s="68"/>
      <c r="ACY143" s="68"/>
      <c r="ACZ143" s="68"/>
      <c r="ADA143" s="68"/>
      <c r="ADB143" s="68"/>
      <c r="ADC143" s="68"/>
      <c r="ADD143" s="68"/>
      <c r="ADE143" s="68"/>
      <c r="ADF143" s="68"/>
      <c r="ADG143" s="68"/>
      <c r="ADH143" s="68"/>
      <c r="ADI143" s="68"/>
      <c r="ADJ143" s="68"/>
      <c r="ADK143" s="68"/>
      <c r="ADL143" s="68"/>
      <c r="ADM143" s="68"/>
      <c r="ADN143" s="68"/>
      <c r="ADO143" s="68"/>
      <c r="ADP143" s="68"/>
      <c r="ADQ143" s="68"/>
      <c r="ADR143" s="68"/>
      <c r="ADS143" s="68"/>
      <c r="ADT143" s="68"/>
      <c r="ADU143" s="68"/>
      <c r="ADV143" s="68"/>
      <c r="ADW143" s="68"/>
      <c r="ADX143" s="68"/>
      <c r="ADY143" s="68"/>
      <c r="ADZ143" s="68"/>
      <c r="AEA143" s="68"/>
      <c r="AEB143" s="68"/>
      <c r="AEC143" s="68"/>
      <c r="AED143" s="68"/>
      <c r="AEE143" s="68"/>
      <c r="AEF143" s="68"/>
      <c r="AEG143" s="68"/>
      <c r="AEH143" s="68"/>
      <c r="AEI143" s="68"/>
      <c r="AEJ143" s="68"/>
      <c r="AEK143" s="68"/>
      <c r="AEL143" s="68"/>
      <c r="AEM143" s="68"/>
      <c r="AEN143" s="68"/>
      <c r="AEO143" s="68"/>
      <c r="AEP143" s="68"/>
      <c r="AEQ143" s="68"/>
      <c r="AER143" s="68"/>
      <c r="AES143" s="68"/>
      <c r="AET143" s="68"/>
      <c r="AEU143" s="68"/>
      <c r="AEV143" s="68"/>
      <c r="AEW143" s="68"/>
      <c r="AEX143" s="68"/>
      <c r="AEY143" s="68"/>
      <c r="AEZ143" s="68"/>
      <c r="AFA143" s="68"/>
      <c r="AFB143" s="68"/>
      <c r="AFC143" s="68"/>
      <c r="AFD143" s="68"/>
      <c r="AFE143" s="68"/>
      <c r="AFF143" s="68"/>
      <c r="AFG143" s="68"/>
      <c r="AFH143" s="68"/>
      <c r="AFI143" s="68"/>
      <c r="AFJ143" s="68"/>
      <c r="AFK143" s="68"/>
      <c r="AFL143" s="68"/>
      <c r="AFM143" s="68"/>
      <c r="AFN143" s="68"/>
      <c r="AFO143" s="68"/>
      <c r="AFP143" s="68"/>
      <c r="AFQ143" s="68"/>
      <c r="AFR143" s="68"/>
      <c r="AFS143" s="68"/>
      <c r="AFT143" s="68"/>
      <c r="AFU143" s="68"/>
      <c r="AFV143" s="68"/>
      <c r="AFW143" s="68"/>
      <c r="AFX143" s="68"/>
      <c r="AFY143" s="68"/>
      <c r="AFZ143" s="68"/>
      <c r="AGA143" s="68"/>
      <c r="AGB143" s="68"/>
      <c r="AGC143" s="68"/>
      <c r="AGD143" s="68"/>
      <c r="AGE143" s="68"/>
      <c r="AGF143" s="68"/>
      <c r="AGG143" s="68"/>
      <c r="AGH143" s="68"/>
      <c r="AGI143" s="68"/>
      <c r="AGJ143" s="68"/>
      <c r="AGK143" s="68"/>
      <c r="AGL143" s="68"/>
      <c r="AGM143" s="68"/>
      <c r="AGN143" s="68"/>
      <c r="AGO143" s="68"/>
      <c r="AGP143" s="68"/>
      <c r="AGQ143" s="68"/>
      <c r="AGR143" s="68"/>
      <c r="AGS143" s="68"/>
      <c r="AGT143" s="68"/>
      <c r="AGU143" s="68"/>
      <c r="AGV143" s="68"/>
      <c r="AGW143" s="68"/>
      <c r="AGX143" s="68"/>
      <c r="AGY143" s="68"/>
      <c r="AGZ143" s="68"/>
      <c r="AHA143" s="68"/>
      <c r="AHB143" s="68"/>
      <c r="AHC143" s="68"/>
      <c r="AHD143" s="68"/>
      <c r="AHE143" s="68"/>
      <c r="AHF143" s="68"/>
      <c r="AHG143" s="68"/>
      <c r="AHH143" s="68"/>
      <c r="AHI143" s="68"/>
      <c r="AHJ143" s="68"/>
      <c r="AHK143" s="68"/>
      <c r="AHL143" s="68"/>
      <c r="AHM143" s="68"/>
      <c r="AHN143" s="68"/>
      <c r="AHO143" s="68"/>
      <c r="AHP143" s="68"/>
      <c r="AHQ143" s="68"/>
      <c r="AHR143" s="68"/>
      <c r="AHS143" s="68"/>
      <c r="AHT143" s="68"/>
      <c r="AHU143" s="68"/>
      <c r="AHV143" s="68"/>
      <c r="AHW143" s="68"/>
      <c r="AHX143" s="68"/>
      <c r="AHY143" s="68"/>
      <c r="AHZ143" s="68"/>
      <c r="AIA143" s="68"/>
      <c r="AIB143" s="68"/>
      <c r="AIC143" s="68"/>
      <c r="AID143" s="68"/>
      <c r="AIE143" s="68"/>
      <c r="AIF143" s="68"/>
      <c r="AIG143" s="68"/>
      <c r="AIH143" s="68"/>
      <c r="AII143" s="68"/>
      <c r="AIJ143" s="68"/>
      <c r="AIK143" s="68"/>
      <c r="AIL143" s="68"/>
      <c r="AIM143" s="68"/>
      <c r="AIN143" s="68"/>
      <c r="AIO143" s="68"/>
      <c r="AIP143" s="68"/>
      <c r="AIQ143" s="68"/>
      <c r="AIR143" s="68"/>
      <c r="AIS143" s="68"/>
      <c r="AIT143" s="68"/>
      <c r="AIU143" s="68"/>
      <c r="AIV143" s="68"/>
      <c r="AIW143" s="68"/>
      <c r="AIX143" s="68"/>
      <c r="AIY143" s="68"/>
      <c r="AIZ143" s="68"/>
      <c r="AJA143" s="68"/>
      <c r="AJB143" s="68"/>
      <c r="AJC143" s="68"/>
    </row>
    <row r="144" spans="1:939" s="85" customFormat="1" ht="17.25" customHeight="1" x14ac:dyDescent="0.25">
      <c r="A144" s="433"/>
      <c r="B144" s="434"/>
      <c r="C144" s="490"/>
      <c r="D144" s="468" t="s">
        <v>51</v>
      </c>
      <c r="E144" s="438"/>
      <c r="F144" s="438"/>
      <c r="G144" s="438"/>
      <c r="H144" s="438"/>
      <c r="I144" s="438"/>
      <c r="J144" s="438"/>
      <c r="K144" s="438"/>
      <c r="L144" s="438"/>
      <c r="M144" s="170"/>
      <c r="N144" s="141">
        <f t="shared" si="25"/>
        <v>255468393210.10001</v>
      </c>
      <c r="O144" s="141">
        <f t="shared" si="25"/>
        <v>0</v>
      </c>
      <c r="P144" s="141">
        <f t="shared" si="25"/>
        <v>273808808212.10999</v>
      </c>
      <c r="Q144" s="141">
        <f t="shared" si="25"/>
        <v>0</v>
      </c>
      <c r="R144" s="141">
        <f t="shared" si="25"/>
        <v>114142369865.54472</v>
      </c>
      <c r="S144" s="141">
        <f t="shared" si="25"/>
        <v>54247184968.769485</v>
      </c>
      <c r="T144" s="141">
        <f t="shared" si="25"/>
        <v>159667435145.76529</v>
      </c>
      <c r="U144" s="141">
        <f t="shared" si="25"/>
        <v>0</v>
      </c>
      <c r="V144" s="89"/>
      <c r="W144" s="90"/>
      <c r="X144" s="47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  <c r="BQ144" s="68"/>
      <c r="BR144" s="68"/>
      <c r="BS144" s="68"/>
      <c r="BT144" s="68"/>
      <c r="BU144" s="68"/>
      <c r="BV144" s="68"/>
      <c r="BW144" s="68"/>
      <c r="BX144" s="68"/>
      <c r="BY144" s="68"/>
      <c r="BZ144" s="68"/>
      <c r="CA144" s="68"/>
      <c r="CB144" s="68"/>
      <c r="CC144" s="68"/>
      <c r="CD144" s="68"/>
      <c r="CE144" s="68"/>
      <c r="CF144" s="68"/>
      <c r="CG144" s="68"/>
      <c r="CH144" s="68"/>
      <c r="CI144" s="68"/>
      <c r="CJ144" s="68"/>
      <c r="CK144" s="68"/>
      <c r="CL144" s="68"/>
      <c r="CM144" s="68"/>
      <c r="CN144" s="68"/>
      <c r="CO144" s="68"/>
      <c r="CP144" s="68"/>
      <c r="CQ144" s="68"/>
      <c r="CR144" s="68"/>
      <c r="CS144" s="68"/>
      <c r="CT144" s="68"/>
      <c r="CU144" s="68"/>
      <c r="CV144" s="68"/>
      <c r="CW144" s="68"/>
      <c r="CX144" s="68"/>
      <c r="CY144" s="68"/>
      <c r="CZ144" s="68"/>
      <c r="DA144" s="68"/>
      <c r="DB144" s="68"/>
      <c r="DC144" s="68"/>
      <c r="DD144" s="68"/>
      <c r="DE144" s="68"/>
      <c r="DF144" s="68"/>
      <c r="DG144" s="68"/>
      <c r="DH144" s="68"/>
      <c r="DI144" s="68"/>
      <c r="DJ144" s="68"/>
      <c r="DK144" s="68"/>
      <c r="DL144" s="68"/>
      <c r="DM144" s="68"/>
      <c r="DN144" s="68"/>
      <c r="DO144" s="68"/>
      <c r="DP144" s="68"/>
      <c r="DQ144" s="68"/>
      <c r="DR144" s="68"/>
      <c r="DS144" s="68"/>
      <c r="DT144" s="68"/>
      <c r="DU144" s="68"/>
      <c r="DV144" s="68"/>
      <c r="DW144" s="68"/>
      <c r="DX144" s="68"/>
      <c r="DY144" s="68"/>
      <c r="DZ144" s="68"/>
      <c r="EA144" s="68"/>
      <c r="EB144" s="68"/>
      <c r="EC144" s="68"/>
      <c r="ED144" s="68"/>
      <c r="EE144" s="68"/>
      <c r="EF144" s="68"/>
      <c r="EG144" s="68"/>
      <c r="EH144" s="68"/>
      <c r="EI144" s="68"/>
      <c r="EJ144" s="68"/>
      <c r="EK144" s="68"/>
      <c r="EL144" s="68"/>
      <c r="EM144" s="68"/>
      <c r="EN144" s="68"/>
      <c r="EO144" s="68"/>
      <c r="EP144" s="68"/>
      <c r="EQ144" s="68"/>
      <c r="ER144" s="68"/>
      <c r="ES144" s="68"/>
      <c r="ET144" s="68"/>
      <c r="EU144" s="68"/>
      <c r="EV144" s="68"/>
      <c r="EW144" s="68"/>
      <c r="EX144" s="68"/>
      <c r="EY144" s="68"/>
      <c r="EZ144" s="68"/>
      <c r="FA144" s="68"/>
      <c r="FB144" s="68"/>
      <c r="FC144" s="68"/>
      <c r="FD144" s="68"/>
      <c r="FE144" s="68"/>
      <c r="FF144" s="68"/>
      <c r="FG144" s="68"/>
      <c r="FH144" s="68"/>
      <c r="FI144" s="68"/>
      <c r="FJ144" s="68"/>
      <c r="FK144" s="68"/>
      <c r="FL144" s="68"/>
      <c r="FM144" s="68"/>
      <c r="FN144" s="68"/>
      <c r="FO144" s="68"/>
      <c r="FP144" s="68"/>
      <c r="FQ144" s="68"/>
      <c r="FR144" s="68"/>
      <c r="FS144" s="68"/>
      <c r="FT144" s="68"/>
      <c r="FU144" s="68"/>
      <c r="FV144" s="68"/>
      <c r="FW144" s="68"/>
      <c r="FX144" s="68"/>
      <c r="FY144" s="68"/>
      <c r="FZ144" s="68"/>
      <c r="GA144" s="68"/>
      <c r="GB144" s="68"/>
      <c r="GC144" s="68"/>
      <c r="GD144" s="68"/>
      <c r="GE144" s="68"/>
      <c r="GF144" s="68"/>
      <c r="GG144" s="68"/>
      <c r="GH144" s="68"/>
      <c r="GI144" s="68"/>
      <c r="GJ144" s="68"/>
      <c r="GK144" s="68"/>
      <c r="GL144" s="68"/>
      <c r="GM144" s="68"/>
      <c r="GN144" s="68"/>
      <c r="GO144" s="68"/>
      <c r="GP144" s="68"/>
      <c r="GQ144" s="68"/>
      <c r="GR144" s="68"/>
      <c r="GS144" s="68"/>
      <c r="GT144" s="68"/>
      <c r="GU144" s="68"/>
      <c r="GV144" s="68"/>
      <c r="GW144" s="68"/>
      <c r="GX144" s="68"/>
      <c r="GY144" s="68"/>
      <c r="GZ144" s="68"/>
      <c r="HA144" s="68"/>
      <c r="HB144" s="68"/>
      <c r="HC144" s="68"/>
      <c r="HD144" s="68"/>
      <c r="HE144" s="68"/>
      <c r="HF144" s="68"/>
      <c r="HG144" s="68"/>
      <c r="HH144" s="68"/>
      <c r="HI144" s="68"/>
      <c r="HJ144" s="68"/>
      <c r="HK144" s="68"/>
      <c r="HL144" s="68"/>
      <c r="HM144" s="68"/>
      <c r="HN144" s="68"/>
      <c r="HO144" s="68"/>
      <c r="HP144" s="68"/>
      <c r="HQ144" s="68"/>
      <c r="HR144" s="68"/>
      <c r="HS144" s="68"/>
      <c r="HT144" s="68"/>
      <c r="HU144" s="68"/>
      <c r="HV144" s="68"/>
      <c r="HW144" s="68"/>
      <c r="HX144" s="68"/>
      <c r="HY144" s="68"/>
      <c r="HZ144" s="68"/>
      <c r="IA144" s="68"/>
      <c r="IB144" s="68"/>
      <c r="IC144" s="68"/>
      <c r="ID144" s="68"/>
      <c r="IE144" s="68"/>
      <c r="IF144" s="68"/>
      <c r="IG144" s="68"/>
      <c r="IH144" s="68"/>
      <c r="II144" s="68"/>
      <c r="IJ144" s="68"/>
      <c r="IK144" s="68"/>
      <c r="IL144" s="68"/>
      <c r="IM144" s="68"/>
      <c r="IN144" s="68"/>
      <c r="IO144" s="68"/>
      <c r="IP144" s="68"/>
      <c r="IQ144" s="68"/>
      <c r="IR144" s="68"/>
      <c r="IS144" s="68"/>
      <c r="IT144" s="68"/>
      <c r="IU144" s="68"/>
      <c r="IV144" s="68"/>
      <c r="IW144" s="68"/>
      <c r="IX144" s="68"/>
      <c r="IY144" s="68"/>
      <c r="IZ144" s="68"/>
      <c r="JA144" s="68"/>
      <c r="JB144" s="68"/>
      <c r="JC144" s="68"/>
      <c r="JD144" s="68"/>
      <c r="JE144" s="68"/>
      <c r="JF144" s="68"/>
      <c r="JG144" s="68"/>
      <c r="JH144" s="68"/>
      <c r="JI144" s="68"/>
      <c r="JJ144" s="68"/>
      <c r="JK144" s="68"/>
      <c r="JL144" s="68"/>
      <c r="JM144" s="68"/>
      <c r="JN144" s="68"/>
      <c r="JO144" s="68"/>
      <c r="JP144" s="68"/>
      <c r="JQ144" s="68"/>
      <c r="JR144" s="68"/>
      <c r="JS144" s="68"/>
      <c r="JT144" s="68"/>
      <c r="JU144" s="68"/>
      <c r="JV144" s="68"/>
      <c r="JW144" s="68"/>
      <c r="JX144" s="68"/>
      <c r="JY144" s="68"/>
      <c r="JZ144" s="68"/>
      <c r="KA144" s="68"/>
      <c r="KB144" s="68"/>
      <c r="KC144" s="68"/>
      <c r="KD144" s="68"/>
      <c r="KE144" s="68"/>
      <c r="KF144" s="68"/>
      <c r="KG144" s="68"/>
      <c r="KH144" s="68"/>
      <c r="KI144" s="68"/>
      <c r="KJ144" s="68"/>
      <c r="KK144" s="68"/>
      <c r="KL144" s="68"/>
      <c r="KM144" s="68"/>
      <c r="KN144" s="68"/>
      <c r="KO144" s="68"/>
      <c r="KP144" s="68"/>
      <c r="KQ144" s="68"/>
      <c r="KR144" s="68"/>
      <c r="KS144" s="68"/>
      <c r="KT144" s="68"/>
      <c r="KU144" s="68"/>
      <c r="KV144" s="68"/>
      <c r="KW144" s="68"/>
      <c r="KX144" s="68"/>
      <c r="KY144" s="68"/>
      <c r="KZ144" s="68"/>
      <c r="LA144" s="68"/>
      <c r="LB144" s="68"/>
      <c r="LC144" s="68"/>
      <c r="LD144" s="68"/>
      <c r="LE144" s="68"/>
      <c r="LF144" s="68"/>
      <c r="LG144" s="68"/>
      <c r="LH144" s="68"/>
      <c r="LI144" s="68"/>
      <c r="LJ144" s="68"/>
      <c r="LK144" s="68"/>
      <c r="LL144" s="68"/>
      <c r="LM144" s="68"/>
      <c r="LN144" s="68"/>
      <c r="LO144" s="68"/>
      <c r="LP144" s="68"/>
      <c r="LQ144" s="68"/>
      <c r="LR144" s="68"/>
      <c r="LS144" s="68"/>
      <c r="LT144" s="68"/>
      <c r="LU144" s="68"/>
      <c r="LV144" s="68"/>
      <c r="LW144" s="68"/>
      <c r="LX144" s="68"/>
      <c r="LY144" s="68"/>
      <c r="LZ144" s="68"/>
      <c r="MA144" s="68"/>
      <c r="MB144" s="68"/>
      <c r="MC144" s="68"/>
      <c r="MD144" s="68"/>
      <c r="ME144" s="68"/>
      <c r="MF144" s="68"/>
      <c r="MG144" s="68"/>
      <c r="MH144" s="68"/>
      <c r="MI144" s="68"/>
      <c r="MJ144" s="68"/>
      <c r="MK144" s="68"/>
      <c r="ML144" s="68"/>
      <c r="MM144" s="68"/>
      <c r="MN144" s="68"/>
      <c r="MO144" s="68"/>
      <c r="MP144" s="68"/>
      <c r="MQ144" s="68"/>
      <c r="MR144" s="68"/>
      <c r="MS144" s="68"/>
      <c r="MT144" s="68"/>
      <c r="MU144" s="68"/>
      <c r="MV144" s="68"/>
      <c r="MW144" s="68"/>
      <c r="MX144" s="68"/>
      <c r="MY144" s="68"/>
      <c r="MZ144" s="68"/>
      <c r="NA144" s="68"/>
      <c r="NB144" s="68"/>
      <c r="NC144" s="68"/>
      <c r="ND144" s="68"/>
      <c r="NE144" s="68"/>
      <c r="NF144" s="68"/>
      <c r="NG144" s="68"/>
      <c r="NH144" s="68"/>
      <c r="NI144" s="68"/>
      <c r="NJ144" s="68"/>
      <c r="NK144" s="68"/>
      <c r="NL144" s="68"/>
      <c r="NM144" s="68"/>
      <c r="NN144" s="68"/>
      <c r="NO144" s="68"/>
      <c r="NP144" s="68"/>
      <c r="NQ144" s="68"/>
      <c r="NR144" s="68"/>
      <c r="NS144" s="68"/>
      <c r="NT144" s="68"/>
      <c r="NU144" s="68"/>
      <c r="NV144" s="68"/>
      <c r="NW144" s="68"/>
      <c r="NX144" s="68"/>
      <c r="NY144" s="68"/>
      <c r="NZ144" s="68"/>
      <c r="OA144" s="68"/>
      <c r="OB144" s="68"/>
      <c r="OC144" s="68"/>
      <c r="OD144" s="68"/>
      <c r="OE144" s="68"/>
      <c r="OF144" s="68"/>
      <c r="OG144" s="68"/>
      <c r="OH144" s="68"/>
      <c r="OI144" s="68"/>
      <c r="OJ144" s="68"/>
      <c r="OK144" s="68"/>
      <c r="OL144" s="68"/>
      <c r="OM144" s="68"/>
      <c r="ON144" s="68"/>
      <c r="OO144" s="68"/>
      <c r="OP144" s="68"/>
      <c r="OQ144" s="68"/>
      <c r="OR144" s="68"/>
      <c r="OS144" s="68"/>
      <c r="OT144" s="68"/>
      <c r="OU144" s="68"/>
      <c r="OV144" s="68"/>
      <c r="OW144" s="68"/>
      <c r="OX144" s="68"/>
      <c r="OY144" s="68"/>
      <c r="OZ144" s="68"/>
      <c r="PA144" s="68"/>
      <c r="PB144" s="68"/>
      <c r="PC144" s="68"/>
      <c r="PD144" s="68"/>
      <c r="PE144" s="68"/>
      <c r="PF144" s="68"/>
      <c r="PG144" s="68"/>
      <c r="PH144" s="68"/>
      <c r="PI144" s="68"/>
      <c r="PJ144" s="68"/>
      <c r="PK144" s="68"/>
      <c r="PL144" s="68"/>
      <c r="PM144" s="68"/>
      <c r="PN144" s="68"/>
      <c r="PO144" s="68"/>
      <c r="PP144" s="68"/>
      <c r="PQ144" s="68"/>
      <c r="PR144" s="68"/>
      <c r="PS144" s="68"/>
      <c r="PT144" s="68"/>
      <c r="PU144" s="68"/>
      <c r="PV144" s="68"/>
      <c r="PW144" s="68"/>
      <c r="PX144" s="68"/>
      <c r="PY144" s="68"/>
      <c r="PZ144" s="68"/>
      <c r="QA144" s="68"/>
      <c r="QB144" s="68"/>
      <c r="QC144" s="68"/>
      <c r="QD144" s="68"/>
      <c r="QE144" s="68"/>
      <c r="QF144" s="68"/>
      <c r="QG144" s="68"/>
      <c r="QH144" s="68"/>
      <c r="QI144" s="68"/>
      <c r="QJ144" s="68"/>
      <c r="QK144" s="68"/>
      <c r="QL144" s="68"/>
      <c r="QM144" s="68"/>
      <c r="QN144" s="68"/>
      <c r="QO144" s="68"/>
      <c r="QP144" s="68"/>
      <c r="QQ144" s="68"/>
      <c r="QR144" s="68"/>
      <c r="QS144" s="68"/>
      <c r="QT144" s="68"/>
      <c r="QU144" s="68"/>
      <c r="QV144" s="68"/>
      <c r="QW144" s="68"/>
      <c r="QX144" s="68"/>
      <c r="QY144" s="68"/>
      <c r="QZ144" s="68"/>
      <c r="RA144" s="68"/>
      <c r="RB144" s="68"/>
      <c r="RC144" s="68"/>
      <c r="RD144" s="68"/>
      <c r="RE144" s="68"/>
      <c r="RF144" s="68"/>
      <c r="RG144" s="68"/>
      <c r="RH144" s="68"/>
      <c r="RI144" s="68"/>
      <c r="RJ144" s="68"/>
      <c r="RK144" s="68"/>
      <c r="RL144" s="68"/>
      <c r="RM144" s="68"/>
      <c r="RN144" s="68"/>
      <c r="RO144" s="68"/>
      <c r="RP144" s="68"/>
      <c r="RQ144" s="68"/>
      <c r="RR144" s="68"/>
      <c r="RS144" s="68"/>
      <c r="RT144" s="68"/>
      <c r="RU144" s="68"/>
      <c r="RV144" s="68"/>
      <c r="RW144" s="68"/>
      <c r="RX144" s="68"/>
      <c r="RY144" s="68"/>
      <c r="RZ144" s="68"/>
      <c r="SA144" s="68"/>
      <c r="SB144" s="68"/>
      <c r="SC144" s="68"/>
      <c r="SD144" s="68"/>
      <c r="SE144" s="68"/>
      <c r="SF144" s="68"/>
      <c r="SG144" s="68"/>
      <c r="SH144" s="68"/>
      <c r="SI144" s="68"/>
      <c r="SJ144" s="68"/>
      <c r="SK144" s="68"/>
      <c r="SL144" s="68"/>
      <c r="SM144" s="68"/>
      <c r="SN144" s="68"/>
      <c r="SO144" s="68"/>
      <c r="SP144" s="68"/>
      <c r="SQ144" s="68"/>
      <c r="SR144" s="68"/>
      <c r="SS144" s="68"/>
      <c r="ST144" s="68"/>
      <c r="SU144" s="68"/>
      <c r="SV144" s="68"/>
      <c r="SW144" s="68"/>
      <c r="SX144" s="68"/>
      <c r="SY144" s="68"/>
      <c r="SZ144" s="68"/>
      <c r="TA144" s="68"/>
      <c r="TB144" s="68"/>
      <c r="TC144" s="68"/>
      <c r="TD144" s="68"/>
      <c r="TE144" s="68"/>
      <c r="TF144" s="68"/>
      <c r="TG144" s="68"/>
      <c r="TH144" s="68"/>
      <c r="TI144" s="68"/>
      <c r="TJ144" s="68"/>
      <c r="TK144" s="68"/>
      <c r="TL144" s="68"/>
      <c r="TM144" s="68"/>
      <c r="TN144" s="68"/>
      <c r="TO144" s="68"/>
      <c r="TP144" s="68"/>
      <c r="TQ144" s="68"/>
      <c r="TR144" s="68"/>
      <c r="TS144" s="68"/>
      <c r="TT144" s="68"/>
      <c r="TU144" s="68"/>
      <c r="TV144" s="68"/>
      <c r="TW144" s="68"/>
      <c r="TX144" s="68"/>
      <c r="TY144" s="68"/>
      <c r="TZ144" s="68"/>
      <c r="UA144" s="68"/>
      <c r="UB144" s="68"/>
      <c r="UC144" s="68"/>
      <c r="UD144" s="68"/>
      <c r="UE144" s="68"/>
      <c r="UF144" s="68"/>
      <c r="UG144" s="68"/>
      <c r="UH144" s="68"/>
      <c r="UI144" s="68"/>
      <c r="UJ144" s="68"/>
      <c r="UK144" s="68"/>
      <c r="UL144" s="68"/>
      <c r="UM144" s="68"/>
      <c r="UN144" s="68"/>
      <c r="UO144" s="68"/>
      <c r="UP144" s="68"/>
      <c r="UQ144" s="68"/>
      <c r="UR144" s="68"/>
      <c r="US144" s="68"/>
      <c r="UT144" s="68"/>
      <c r="UU144" s="68"/>
      <c r="UV144" s="68"/>
      <c r="UW144" s="68"/>
      <c r="UX144" s="68"/>
      <c r="UY144" s="68"/>
      <c r="UZ144" s="68"/>
      <c r="VA144" s="68"/>
      <c r="VB144" s="68"/>
      <c r="VC144" s="68"/>
      <c r="VD144" s="68"/>
      <c r="VE144" s="68"/>
      <c r="VF144" s="68"/>
      <c r="VG144" s="68"/>
      <c r="VH144" s="68"/>
      <c r="VI144" s="68"/>
      <c r="VJ144" s="68"/>
      <c r="VK144" s="68"/>
      <c r="VL144" s="68"/>
      <c r="VM144" s="68"/>
      <c r="VN144" s="68"/>
      <c r="VO144" s="68"/>
      <c r="VP144" s="68"/>
      <c r="VQ144" s="68"/>
      <c r="VR144" s="68"/>
      <c r="VS144" s="68"/>
      <c r="VT144" s="68"/>
      <c r="VU144" s="68"/>
      <c r="VV144" s="68"/>
      <c r="VW144" s="68"/>
      <c r="VX144" s="68"/>
      <c r="VY144" s="68"/>
      <c r="VZ144" s="68"/>
      <c r="WA144" s="68"/>
      <c r="WB144" s="68"/>
      <c r="WC144" s="68"/>
      <c r="WD144" s="68"/>
      <c r="WE144" s="68"/>
      <c r="WF144" s="68"/>
      <c r="WG144" s="68"/>
      <c r="WH144" s="68"/>
      <c r="WI144" s="68"/>
      <c r="WJ144" s="68"/>
      <c r="WK144" s="68"/>
      <c r="WL144" s="68"/>
      <c r="WM144" s="68"/>
      <c r="WN144" s="68"/>
      <c r="WO144" s="68"/>
      <c r="WP144" s="68"/>
      <c r="WQ144" s="68"/>
      <c r="WR144" s="68"/>
      <c r="WS144" s="68"/>
      <c r="WT144" s="68"/>
      <c r="WU144" s="68"/>
      <c r="WV144" s="68"/>
      <c r="WW144" s="68"/>
      <c r="WX144" s="68"/>
      <c r="WY144" s="68"/>
      <c r="WZ144" s="68"/>
      <c r="XA144" s="68"/>
      <c r="XB144" s="68"/>
      <c r="XC144" s="68"/>
      <c r="XD144" s="68"/>
      <c r="XE144" s="68"/>
      <c r="XF144" s="68"/>
      <c r="XG144" s="68"/>
      <c r="XH144" s="68"/>
      <c r="XI144" s="68"/>
      <c r="XJ144" s="68"/>
      <c r="XK144" s="68"/>
      <c r="XL144" s="68"/>
      <c r="XM144" s="68"/>
      <c r="XN144" s="68"/>
      <c r="XO144" s="68"/>
      <c r="XP144" s="68"/>
      <c r="XQ144" s="68"/>
      <c r="XR144" s="68"/>
      <c r="XS144" s="68"/>
      <c r="XT144" s="68"/>
      <c r="XU144" s="68"/>
      <c r="XV144" s="68"/>
      <c r="XW144" s="68"/>
      <c r="XX144" s="68"/>
      <c r="XY144" s="68"/>
      <c r="XZ144" s="68"/>
      <c r="YA144" s="68"/>
      <c r="YB144" s="68"/>
      <c r="YC144" s="68"/>
      <c r="YD144" s="68"/>
      <c r="YE144" s="68"/>
      <c r="YF144" s="68"/>
      <c r="YG144" s="68"/>
      <c r="YH144" s="68"/>
      <c r="YI144" s="68"/>
      <c r="YJ144" s="68"/>
      <c r="YK144" s="68"/>
      <c r="YL144" s="68"/>
      <c r="YM144" s="68"/>
      <c r="YN144" s="68"/>
      <c r="YO144" s="68"/>
      <c r="YP144" s="68"/>
      <c r="YQ144" s="68"/>
      <c r="YR144" s="68"/>
      <c r="YS144" s="68"/>
      <c r="YT144" s="68"/>
      <c r="YU144" s="68"/>
      <c r="YV144" s="68"/>
      <c r="YW144" s="68"/>
      <c r="YX144" s="68"/>
      <c r="YY144" s="68"/>
      <c r="YZ144" s="68"/>
      <c r="ZA144" s="68"/>
      <c r="ZB144" s="68"/>
      <c r="ZC144" s="68"/>
      <c r="ZD144" s="68"/>
      <c r="ZE144" s="68"/>
      <c r="ZF144" s="68"/>
      <c r="ZG144" s="68"/>
      <c r="ZH144" s="68"/>
      <c r="ZI144" s="68"/>
      <c r="ZJ144" s="68"/>
      <c r="ZK144" s="68"/>
      <c r="ZL144" s="68"/>
      <c r="ZM144" s="68"/>
      <c r="ZN144" s="68"/>
      <c r="ZO144" s="68"/>
      <c r="ZP144" s="68"/>
      <c r="ZQ144" s="68"/>
      <c r="ZR144" s="68"/>
      <c r="ZS144" s="68"/>
      <c r="ZT144" s="68"/>
      <c r="ZU144" s="68"/>
      <c r="ZV144" s="68"/>
      <c r="ZW144" s="68"/>
      <c r="ZX144" s="68"/>
      <c r="ZY144" s="68"/>
      <c r="ZZ144" s="68"/>
      <c r="AAA144" s="68"/>
      <c r="AAB144" s="68"/>
      <c r="AAC144" s="68"/>
      <c r="AAD144" s="68"/>
      <c r="AAE144" s="68"/>
      <c r="AAF144" s="68"/>
      <c r="AAG144" s="68"/>
      <c r="AAH144" s="68"/>
      <c r="AAI144" s="68"/>
      <c r="AAJ144" s="68"/>
      <c r="AAK144" s="68"/>
      <c r="AAL144" s="68"/>
      <c r="AAM144" s="68"/>
      <c r="AAN144" s="68"/>
      <c r="AAO144" s="68"/>
      <c r="AAP144" s="68"/>
      <c r="AAQ144" s="68"/>
      <c r="AAR144" s="68"/>
      <c r="AAS144" s="68"/>
      <c r="AAT144" s="68"/>
      <c r="AAU144" s="68"/>
      <c r="AAV144" s="68"/>
      <c r="AAW144" s="68"/>
      <c r="AAX144" s="68"/>
      <c r="AAY144" s="68"/>
      <c r="AAZ144" s="68"/>
      <c r="ABA144" s="68"/>
      <c r="ABB144" s="68"/>
      <c r="ABC144" s="68"/>
      <c r="ABD144" s="68"/>
      <c r="ABE144" s="68"/>
      <c r="ABF144" s="68"/>
      <c r="ABG144" s="68"/>
      <c r="ABH144" s="68"/>
      <c r="ABI144" s="68"/>
      <c r="ABJ144" s="68"/>
      <c r="ABK144" s="68"/>
      <c r="ABL144" s="68"/>
      <c r="ABM144" s="68"/>
      <c r="ABN144" s="68"/>
      <c r="ABO144" s="68"/>
      <c r="ABP144" s="68"/>
      <c r="ABQ144" s="68"/>
      <c r="ABR144" s="68"/>
      <c r="ABS144" s="68"/>
      <c r="ABT144" s="68"/>
      <c r="ABU144" s="68"/>
      <c r="ABV144" s="68"/>
      <c r="ABW144" s="68"/>
      <c r="ABX144" s="68"/>
      <c r="ABY144" s="68"/>
      <c r="ABZ144" s="68"/>
      <c r="ACA144" s="68"/>
      <c r="ACB144" s="68"/>
      <c r="ACC144" s="68"/>
      <c r="ACD144" s="68"/>
      <c r="ACE144" s="68"/>
      <c r="ACF144" s="68"/>
      <c r="ACG144" s="68"/>
      <c r="ACH144" s="68"/>
      <c r="ACI144" s="68"/>
      <c r="ACJ144" s="68"/>
      <c r="ACK144" s="68"/>
      <c r="ACL144" s="68"/>
      <c r="ACM144" s="68"/>
      <c r="ACN144" s="68"/>
      <c r="ACO144" s="68"/>
      <c r="ACP144" s="68"/>
      <c r="ACQ144" s="68"/>
      <c r="ACR144" s="68"/>
      <c r="ACS144" s="68"/>
      <c r="ACT144" s="68"/>
      <c r="ACU144" s="68"/>
      <c r="ACV144" s="68"/>
      <c r="ACW144" s="68"/>
      <c r="ACX144" s="68"/>
      <c r="ACY144" s="68"/>
      <c r="ACZ144" s="68"/>
      <c r="ADA144" s="68"/>
      <c r="ADB144" s="68"/>
      <c r="ADC144" s="68"/>
      <c r="ADD144" s="68"/>
      <c r="ADE144" s="68"/>
      <c r="ADF144" s="68"/>
      <c r="ADG144" s="68"/>
      <c r="ADH144" s="68"/>
      <c r="ADI144" s="68"/>
      <c r="ADJ144" s="68"/>
      <c r="ADK144" s="68"/>
      <c r="ADL144" s="68"/>
      <c r="ADM144" s="68"/>
      <c r="ADN144" s="68"/>
      <c r="ADO144" s="68"/>
      <c r="ADP144" s="68"/>
      <c r="ADQ144" s="68"/>
      <c r="ADR144" s="68"/>
      <c r="ADS144" s="68"/>
      <c r="ADT144" s="68"/>
      <c r="ADU144" s="68"/>
      <c r="ADV144" s="68"/>
      <c r="ADW144" s="68"/>
      <c r="ADX144" s="68"/>
      <c r="ADY144" s="68"/>
      <c r="ADZ144" s="68"/>
      <c r="AEA144" s="68"/>
      <c r="AEB144" s="68"/>
      <c r="AEC144" s="68"/>
      <c r="AED144" s="68"/>
      <c r="AEE144" s="68"/>
      <c r="AEF144" s="68"/>
      <c r="AEG144" s="68"/>
      <c r="AEH144" s="68"/>
      <c r="AEI144" s="68"/>
      <c r="AEJ144" s="68"/>
      <c r="AEK144" s="68"/>
      <c r="AEL144" s="68"/>
      <c r="AEM144" s="68"/>
      <c r="AEN144" s="68"/>
      <c r="AEO144" s="68"/>
      <c r="AEP144" s="68"/>
      <c r="AEQ144" s="68"/>
      <c r="AER144" s="68"/>
      <c r="AES144" s="68"/>
      <c r="AET144" s="68"/>
      <c r="AEU144" s="68"/>
      <c r="AEV144" s="68"/>
      <c r="AEW144" s="68"/>
      <c r="AEX144" s="68"/>
      <c r="AEY144" s="68"/>
      <c r="AEZ144" s="68"/>
      <c r="AFA144" s="68"/>
      <c r="AFB144" s="68"/>
      <c r="AFC144" s="68"/>
      <c r="AFD144" s="68"/>
      <c r="AFE144" s="68"/>
      <c r="AFF144" s="68"/>
      <c r="AFG144" s="68"/>
      <c r="AFH144" s="68"/>
      <c r="AFI144" s="68"/>
      <c r="AFJ144" s="68"/>
      <c r="AFK144" s="68"/>
      <c r="AFL144" s="68"/>
      <c r="AFM144" s="68"/>
      <c r="AFN144" s="68"/>
      <c r="AFO144" s="68"/>
      <c r="AFP144" s="68"/>
      <c r="AFQ144" s="68"/>
      <c r="AFR144" s="68"/>
      <c r="AFS144" s="68"/>
      <c r="AFT144" s="68"/>
      <c r="AFU144" s="68"/>
      <c r="AFV144" s="68"/>
      <c r="AFW144" s="68"/>
      <c r="AFX144" s="68"/>
      <c r="AFY144" s="68"/>
      <c r="AFZ144" s="68"/>
      <c r="AGA144" s="68"/>
      <c r="AGB144" s="68"/>
      <c r="AGC144" s="68"/>
      <c r="AGD144" s="68"/>
      <c r="AGE144" s="68"/>
      <c r="AGF144" s="68"/>
      <c r="AGG144" s="68"/>
      <c r="AGH144" s="68"/>
      <c r="AGI144" s="68"/>
      <c r="AGJ144" s="68"/>
      <c r="AGK144" s="68"/>
      <c r="AGL144" s="68"/>
      <c r="AGM144" s="68"/>
      <c r="AGN144" s="68"/>
      <c r="AGO144" s="68"/>
      <c r="AGP144" s="68"/>
      <c r="AGQ144" s="68"/>
      <c r="AGR144" s="68"/>
      <c r="AGS144" s="68"/>
      <c r="AGT144" s="68"/>
      <c r="AGU144" s="68"/>
      <c r="AGV144" s="68"/>
      <c r="AGW144" s="68"/>
      <c r="AGX144" s="68"/>
      <c r="AGY144" s="68"/>
      <c r="AGZ144" s="68"/>
      <c r="AHA144" s="68"/>
      <c r="AHB144" s="68"/>
      <c r="AHC144" s="68"/>
      <c r="AHD144" s="68"/>
      <c r="AHE144" s="68"/>
      <c r="AHF144" s="68"/>
      <c r="AHG144" s="68"/>
      <c r="AHH144" s="68"/>
      <c r="AHI144" s="68"/>
      <c r="AHJ144" s="68"/>
      <c r="AHK144" s="68"/>
      <c r="AHL144" s="68"/>
      <c r="AHM144" s="68"/>
      <c r="AHN144" s="68"/>
      <c r="AHO144" s="68"/>
      <c r="AHP144" s="68"/>
      <c r="AHQ144" s="68"/>
      <c r="AHR144" s="68"/>
      <c r="AHS144" s="68"/>
      <c r="AHT144" s="68"/>
      <c r="AHU144" s="68"/>
      <c r="AHV144" s="68"/>
      <c r="AHW144" s="68"/>
      <c r="AHX144" s="68"/>
      <c r="AHY144" s="68"/>
      <c r="AHZ144" s="68"/>
      <c r="AIA144" s="68"/>
      <c r="AIB144" s="68"/>
      <c r="AIC144" s="68"/>
      <c r="AID144" s="68"/>
      <c r="AIE144" s="68"/>
      <c r="AIF144" s="68"/>
      <c r="AIG144" s="68"/>
      <c r="AIH144" s="68"/>
      <c r="AII144" s="68"/>
      <c r="AIJ144" s="68"/>
      <c r="AIK144" s="68"/>
      <c r="AIL144" s="68"/>
      <c r="AIM144" s="68"/>
      <c r="AIN144" s="68"/>
      <c r="AIO144" s="68"/>
      <c r="AIP144" s="68"/>
      <c r="AIQ144" s="68"/>
      <c r="AIR144" s="68"/>
      <c r="AIS144" s="68"/>
      <c r="AIT144" s="68"/>
      <c r="AIU144" s="68"/>
      <c r="AIV144" s="68"/>
      <c r="AIW144" s="68"/>
      <c r="AIX144" s="68"/>
      <c r="AIY144" s="68"/>
      <c r="AIZ144" s="68"/>
      <c r="AJA144" s="68"/>
      <c r="AJB144" s="68"/>
      <c r="AJC144" s="68"/>
    </row>
    <row r="145" spans="1:939" s="85" customFormat="1" ht="15" customHeight="1" x14ac:dyDescent="0.25">
      <c r="A145" s="433"/>
      <c r="B145" s="434"/>
      <c r="C145" s="490"/>
      <c r="D145" s="468" t="s">
        <v>26</v>
      </c>
      <c r="E145" s="438"/>
      <c r="F145" s="438"/>
      <c r="G145" s="438"/>
      <c r="H145" s="438"/>
      <c r="I145" s="438"/>
      <c r="J145" s="438"/>
      <c r="K145" s="438"/>
      <c r="L145" s="438"/>
      <c r="M145" s="86"/>
      <c r="N145" s="141">
        <f t="shared" si="25"/>
        <v>481140620.32000005</v>
      </c>
      <c r="O145" s="141">
        <f t="shared" si="25"/>
        <v>1712772731.930131</v>
      </c>
      <c r="P145" s="141">
        <f t="shared" si="25"/>
        <v>361352417.42000002</v>
      </c>
      <c r="Q145" s="141">
        <f t="shared" si="25"/>
        <v>0</v>
      </c>
      <c r="R145" s="141">
        <f t="shared" si="25"/>
        <v>106828145.10402158</v>
      </c>
      <c r="S145" s="141">
        <f t="shared" si="25"/>
        <v>60836171.020850107</v>
      </c>
      <c r="T145" s="141">
        <f t="shared" si="25"/>
        <v>255108108.44975245</v>
      </c>
      <c r="U145" s="141">
        <f t="shared" si="25"/>
        <v>912930422.98403406</v>
      </c>
      <c r="V145" s="89"/>
      <c r="W145" s="90"/>
      <c r="X145" s="47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  <c r="BQ145" s="68"/>
      <c r="BR145" s="68"/>
      <c r="BS145" s="68"/>
      <c r="BT145" s="68"/>
      <c r="BU145" s="68"/>
      <c r="BV145" s="68"/>
      <c r="BW145" s="68"/>
      <c r="BX145" s="68"/>
      <c r="BY145" s="68"/>
      <c r="BZ145" s="68"/>
      <c r="CA145" s="68"/>
      <c r="CB145" s="68"/>
      <c r="CC145" s="68"/>
      <c r="CD145" s="68"/>
      <c r="CE145" s="68"/>
      <c r="CF145" s="68"/>
      <c r="CG145" s="68"/>
      <c r="CH145" s="68"/>
      <c r="CI145" s="68"/>
      <c r="CJ145" s="68"/>
      <c r="CK145" s="68"/>
      <c r="CL145" s="68"/>
      <c r="CM145" s="68"/>
      <c r="CN145" s="68"/>
      <c r="CO145" s="68"/>
      <c r="CP145" s="68"/>
      <c r="CQ145" s="68"/>
      <c r="CR145" s="68"/>
      <c r="CS145" s="68"/>
      <c r="CT145" s="68"/>
      <c r="CU145" s="68"/>
      <c r="CV145" s="68"/>
      <c r="CW145" s="68"/>
      <c r="CX145" s="68"/>
      <c r="CY145" s="68"/>
      <c r="CZ145" s="68"/>
      <c r="DA145" s="68"/>
      <c r="DB145" s="68"/>
      <c r="DC145" s="68"/>
      <c r="DD145" s="68"/>
      <c r="DE145" s="68"/>
      <c r="DF145" s="68"/>
      <c r="DG145" s="68"/>
      <c r="DH145" s="68"/>
      <c r="DI145" s="68"/>
      <c r="DJ145" s="68"/>
      <c r="DK145" s="68"/>
      <c r="DL145" s="68"/>
      <c r="DM145" s="68"/>
      <c r="DN145" s="68"/>
      <c r="DO145" s="68"/>
      <c r="DP145" s="68"/>
      <c r="DQ145" s="68"/>
      <c r="DR145" s="68"/>
      <c r="DS145" s="68"/>
      <c r="DT145" s="68"/>
      <c r="DU145" s="68"/>
      <c r="DV145" s="68"/>
      <c r="DW145" s="68"/>
      <c r="DX145" s="68"/>
      <c r="DY145" s="68"/>
      <c r="DZ145" s="68"/>
      <c r="EA145" s="68"/>
      <c r="EB145" s="68"/>
      <c r="EC145" s="68"/>
      <c r="ED145" s="68"/>
      <c r="EE145" s="68"/>
      <c r="EF145" s="68"/>
      <c r="EG145" s="68"/>
      <c r="EH145" s="68"/>
      <c r="EI145" s="68"/>
      <c r="EJ145" s="68"/>
      <c r="EK145" s="68"/>
      <c r="EL145" s="68"/>
      <c r="EM145" s="68"/>
      <c r="EN145" s="68"/>
      <c r="EO145" s="68"/>
      <c r="EP145" s="68"/>
      <c r="EQ145" s="68"/>
      <c r="ER145" s="68"/>
      <c r="ES145" s="68"/>
      <c r="ET145" s="68"/>
      <c r="EU145" s="68"/>
      <c r="EV145" s="68"/>
      <c r="EW145" s="68"/>
      <c r="EX145" s="68"/>
      <c r="EY145" s="68"/>
      <c r="EZ145" s="68"/>
      <c r="FA145" s="68"/>
      <c r="FB145" s="68"/>
      <c r="FC145" s="68"/>
      <c r="FD145" s="68"/>
      <c r="FE145" s="68"/>
      <c r="FF145" s="68"/>
      <c r="FG145" s="68"/>
      <c r="FH145" s="68"/>
      <c r="FI145" s="68"/>
      <c r="FJ145" s="68"/>
      <c r="FK145" s="68"/>
      <c r="FL145" s="68"/>
      <c r="FM145" s="68"/>
      <c r="FN145" s="68"/>
      <c r="FO145" s="68"/>
      <c r="FP145" s="68"/>
      <c r="FQ145" s="68"/>
      <c r="FR145" s="68"/>
      <c r="FS145" s="68"/>
      <c r="FT145" s="68"/>
      <c r="FU145" s="68"/>
      <c r="FV145" s="68"/>
      <c r="FW145" s="68"/>
      <c r="FX145" s="68"/>
      <c r="FY145" s="68"/>
      <c r="FZ145" s="68"/>
      <c r="GA145" s="68"/>
      <c r="GB145" s="68"/>
      <c r="GC145" s="68"/>
      <c r="GD145" s="68"/>
      <c r="GE145" s="68"/>
      <c r="GF145" s="68"/>
      <c r="GG145" s="68"/>
      <c r="GH145" s="68"/>
      <c r="GI145" s="68"/>
      <c r="GJ145" s="68"/>
      <c r="GK145" s="68"/>
      <c r="GL145" s="68"/>
      <c r="GM145" s="68"/>
      <c r="GN145" s="68"/>
      <c r="GO145" s="68"/>
      <c r="GP145" s="68"/>
      <c r="GQ145" s="68"/>
      <c r="GR145" s="68"/>
      <c r="GS145" s="68"/>
      <c r="GT145" s="68"/>
      <c r="GU145" s="68"/>
      <c r="GV145" s="68"/>
      <c r="GW145" s="68"/>
      <c r="GX145" s="68"/>
      <c r="GY145" s="68"/>
      <c r="GZ145" s="68"/>
      <c r="HA145" s="68"/>
      <c r="HB145" s="68"/>
      <c r="HC145" s="68"/>
      <c r="HD145" s="68"/>
      <c r="HE145" s="68"/>
      <c r="HF145" s="68"/>
      <c r="HG145" s="68"/>
      <c r="HH145" s="68"/>
      <c r="HI145" s="68"/>
      <c r="HJ145" s="68"/>
      <c r="HK145" s="68"/>
      <c r="HL145" s="68"/>
      <c r="HM145" s="68"/>
      <c r="HN145" s="68"/>
      <c r="HO145" s="68"/>
      <c r="HP145" s="68"/>
      <c r="HQ145" s="68"/>
      <c r="HR145" s="68"/>
      <c r="HS145" s="68"/>
      <c r="HT145" s="68"/>
      <c r="HU145" s="68"/>
      <c r="HV145" s="68"/>
      <c r="HW145" s="68"/>
      <c r="HX145" s="68"/>
      <c r="HY145" s="68"/>
      <c r="HZ145" s="68"/>
      <c r="IA145" s="68"/>
      <c r="IB145" s="68"/>
      <c r="IC145" s="68"/>
      <c r="ID145" s="68"/>
      <c r="IE145" s="68"/>
      <c r="IF145" s="68"/>
      <c r="IG145" s="68"/>
      <c r="IH145" s="68"/>
      <c r="II145" s="68"/>
      <c r="IJ145" s="68"/>
      <c r="IK145" s="68"/>
      <c r="IL145" s="68"/>
      <c r="IM145" s="68"/>
      <c r="IN145" s="68"/>
      <c r="IO145" s="68"/>
      <c r="IP145" s="68"/>
      <c r="IQ145" s="68"/>
      <c r="IR145" s="68"/>
      <c r="IS145" s="68"/>
      <c r="IT145" s="68"/>
      <c r="IU145" s="68"/>
      <c r="IV145" s="68"/>
      <c r="IW145" s="68"/>
      <c r="IX145" s="68"/>
      <c r="IY145" s="68"/>
      <c r="IZ145" s="68"/>
      <c r="JA145" s="68"/>
      <c r="JB145" s="68"/>
      <c r="JC145" s="68"/>
      <c r="JD145" s="68"/>
      <c r="JE145" s="68"/>
      <c r="JF145" s="68"/>
      <c r="JG145" s="68"/>
      <c r="JH145" s="68"/>
      <c r="JI145" s="68"/>
      <c r="JJ145" s="68"/>
      <c r="JK145" s="68"/>
      <c r="JL145" s="68"/>
      <c r="JM145" s="68"/>
      <c r="JN145" s="68"/>
      <c r="JO145" s="68"/>
      <c r="JP145" s="68"/>
      <c r="JQ145" s="68"/>
      <c r="JR145" s="68"/>
      <c r="JS145" s="68"/>
      <c r="JT145" s="68"/>
      <c r="JU145" s="68"/>
      <c r="JV145" s="68"/>
      <c r="JW145" s="68"/>
      <c r="JX145" s="68"/>
      <c r="JY145" s="68"/>
      <c r="JZ145" s="68"/>
      <c r="KA145" s="68"/>
      <c r="KB145" s="68"/>
      <c r="KC145" s="68"/>
      <c r="KD145" s="68"/>
      <c r="KE145" s="68"/>
      <c r="KF145" s="68"/>
      <c r="KG145" s="68"/>
      <c r="KH145" s="68"/>
      <c r="KI145" s="68"/>
      <c r="KJ145" s="68"/>
      <c r="KK145" s="68"/>
      <c r="KL145" s="68"/>
      <c r="KM145" s="68"/>
      <c r="KN145" s="68"/>
      <c r="KO145" s="68"/>
      <c r="KP145" s="68"/>
      <c r="KQ145" s="68"/>
      <c r="KR145" s="68"/>
      <c r="KS145" s="68"/>
      <c r="KT145" s="68"/>
      <c r="KU145" s="68"/>
      <c r="KV145" s="68"/>
      <c r="KW145" s="68"/>
      <c r="KX145" s="68"/>
      <c r="KY145" s="68"/>
      <c r="KZ145" s="68"/>
      <c r="LA145" s="68"/>
      <c r="LB145" s="68"/>
      <c r="LC145" s="68"/>
      <c r="LD145" s="68"/>
      <c r="LE145" s="68"/>
      <c r="LF145" s="68"/>
      <c r="LG145" s="68"/>
      <c r="LH145" s="68"/>
      <c r="LI145" s="68"/>
      <c r="LJ145" s="68"/>
      <c r="LK145" s="68"/>
      <c r="LL145" s="68"/>
      <c r="LM145" s="68"/>
      <c r="LN145" s="68"/>
      <c r="LO145" s="68"/>
      <c r="LP145" s="68"/>
      <c r="LQ145" s="68"/>
      <c r="LR145" s="68"/>
      <c r="LS145" s="68"/>
      <c r="LT145" s="68"/>
      <c r="LU145" s="68"/>
      <c r="LV145" s="68"/>
      <c r="LW145" s="68"/>
      <c r="LX145" s="68"/>
      <c r="LY145" s="68"/>
      <c r="LZ145" s="68"/>
      <c r="MA145" s="68"/>
      <c r="MB145" s="68"/>
      <c r="MC145" s="68"/>
      <c r="MD145" s="68"/>
      <c r="ME145" s="68"/>
      <c r="MF145" s="68"/>
      <c r="MG145" s="68"/>
      <c r="MH145" s="68"/>
      <c r="MI145" s="68"/>
      <c r="MJ145" s="68"/>
      <c r="MK145" s="68"/>
      <c r="ML145" s="68"/>
      <c r="MM145" s="68"/>
      <c r="MN145" s="68"/>
      <c r="MO145" s="68"/>
      <c r="MP145" s="68"/>
      <c r="MQ145" s="68"/>
      <c r="MR145" s="68"/>
      <c r="MS145" s="68"/>
      <c r="MT145" s="68"/>
      <c r="MU145" s="68"/>
      <c r="MV145" s="68"/>
      <c r="MW145" s="68"/>
      <c r="MX145" s="68"/>
      <c r="MY145" s="68"/>
      <c r="MZ145" s="68"/>
      <c r="NA145" s="68"/>
      <c r="NB145" s="68"/>
      <c r="NC145" s="68"/>
      <c r="ND145" s="68"/>
      <c r="NE145" s="68"/>
      <c r="NF145" s="68"/>
      <c r="NG145" s="68"/>
      <c r="NH145" s="68"/>
      <c r="NI145" s="68"/>
      <c r="NJ145" s="68"/>
      <c r="NK145" s="68"/>
      <c r="NL145" s="68"/>
      <c r="NM145" s="68"/>
      <c r="NN145" s="68"/>
      <c r="NO145" s="68"/>
      <c r="NP145" s="68"/>
      <c r="NQ145" s="68"/>
      <c r="NR145" s="68"/>
      <c r="NS145" s="68"/>
      <c r="NT145" s="68"/>
      <c r="NU145" s="68"/>
      <c r="NV145" s="68"/>
      <c r="NW145" s="68"/>
      <c r="NX145" s="68"/>
      <c r="NY145" s="68"/>
      <c r="NZ145" s="68"/>
      <c r="OA145" s="68"/>
      <c r="OB145" s="68"/>
      <c r="OC145" s="68"/>
      <c r="OD145" s="68"/>
      <c r="OE145" s="68"/>
      <c r="OF145" s="68"/>
      <c r="OG145" s="68"/>
      <c r="OH145" s="68"/>
      <c r="OI145" s="68"/>
      <c r="OJ145" s="68"/>
      <c r="OK145" s="68"/>
      <c r="OL145" s="68"/>
      <c r="OM145" s="68"/>
      <c r="ON145" s="68"/>
      <c r="OO145" s="68"/>
      <c r="OP145" s="68"/>
      <c r="OQ145" s="68"/>
      <c r="OR145" s="68"/>
      <c r="OS145" s="68"/>
      <c r="OT145" s="68"/>
      <c r="OU145" s="68"/>
      <c r="OV145" s="68"/>
      <c r="OW145" s="68"/>
      <c r="OX145" s="68"/>
      <c r="OY145" s="68"/>
      <c r="OZ145" s="68"/>
      <c r="PA145" s="68"/>
      <c r="PB145" s="68"/>
      <c r="PC145" s="68"/>
      <c r="PD145" s="68"/>
      <c r="PE145" s="68"/>
      <c r="PF145" s="68"/>
      <c r="PG145" s="68"/>
      <c r="PH145" s="68"/>
      <c r="PI145" s="68"/>
      <c r="PJ145" s="68"/>
      <c r="PK145" s="68"/>
      <c r="PL145" s="68"/>
      <c r="PM145" s="68"/>
      <c r="PN145" s="68"/>
      <c r="PO145" s="68"/>
      <c r="PP145" s="68"/>
      <c r="PQ145" s="68"/>
      <c r="PR145" s="68"/>
      <c r="PS145" s="68"/>
      <c r="PT145" s="68"/>
      <c r="PU145" s="68"/>
      <c r="PV145" s="68"/>
      <c r="PW145" s="68"/>
      <c r="PX145" s="68"/>
      <c r="PY145" s="68"/>
      <c r="PZ145" s="68"/>
      <c r="QA145" s="68"/>
      <c r="QB145" s="68"/>
      <c r="QC145" s="68"/>
      <c r="QD145" s="68"/>
      <c r="QE145" s="68"/>
      <c r="QF145" s="68"/>
      <c r="QG145" s="68"/>
      <c r="QH145" s="68"/>
      <c r="QI145" s="68"/>
      <c r="QJ145" s="68"/>
      <c r="QK145" s="68"/>
      <c r="QL145" s="68"/>
      <c r="QM145" s="68"/>
      <c r="QN145" s="68"/>
      <c r="QO145" s="68"/>
      <c r="QP145" s="68"/>
      <c r="QQ145" s="68"/>
      <c r="QR145" s="68"/>
      <c r="QS145" s="68"/>
      <c r="QT145" s="68"/>
      <c r="QU145" s="68"/>
      <c r="QV145" s="68"/>
      <c r="QW145" s="68"/>
      <c r="QX145" s="68"/>
      <c r="QY145" s="68"/>
      <c r="QZ145" s="68"/>
      <c r="RA145" s="68"/>
      <c r="RB145" s="68"/>
      <c r="RC145" s="68"/>
      <c r="RD145" s="68"/>
      <c r="RE145" s="68"/>
      <c r="RF145" s="68"/>
      <c r="RG145" s="68"/>
      <c r="RH145" s="68"/>
      <c r="RI145" s="68"/>
      <c r="RJ145" s="68"/>
      <c r="RK145" s="68"/>
      <c r="RL145" s="68"/>
      <c r="RM145" s="68"/>
      <c r="RN145" s="68"/>
      <c r="RO145" s="68"/>
      <c r="RP145" s="68"/>
      <c r="RQ145" s="68"/>
      <c r="RR145" s="68"/>
      <c r="RS145" s="68"/>
      <c r="RT145" s="68"/>
      <c r="RU145" s="68"/>
      <c r="RV145" s="68"/>
      <c r="RW145" s="68"/>
      <c r="RX145" s="68"/>
      <c r="RY145" s="68"/>
      <c r="RZ145" s="68"/>
      <c r="SA145" s="68"/>
      <c r="SB145" s="68"/>
      <c r="SC145" s="68"/>
      <c r="SD145" s="68"/>
      <c r="SE145" s="68"/>
      <c r="SF145" s="68"/>
      <c r="SG145" s="68"/>
      <c r="SH145" s="68"/>
      <c r="SI145" s="68"/>
      <c r="SJ145" s="68"/>
      <c r="SK145" s="68"/>
      <c r="SL145" s="68"/>
      <c r="SM145" s="68"/>
      <c r="SN145" s="68"/>
      <c r="SO145" s="68"/>
      <c r="SP145" s="68"/>
      <c r="SQ145" s="68"/>
      <c r="SR145" s="68"/>
      <c r="SS145" s="68"/>
      <c r="ST145" s="68"/>
      <c r="SU145" s="68"/>
      <c r="SV145" s="68"/>
      <c r="SW145" s="68"/>
      <c r="SX145" s="68"/>
      <c r="SY145" s="68"/>
      <c r="SZ145" s="68"/>
      <c r="TA145" s="68"/>
      <c r="TB145" s="68"/>
      <c r="TC145" s="68"/>
      <c r="TD145" s="68"/>
      <c r="TE145" s="68"/>
      <c r="TF145" s="68"/>
      <c r="TG145" s="68"/>
      <c r="TH145" s="68"/>
      <c r="TI145" s="68"/>
      <c r="TJ145" s="68"/>
      <c r="TK145" s="68"/>
      <c r="TL145" s="68"/>
      <c r="TM145" s="68"/>
      <c r="TN145" s="68"/>
      <c r="TO145" s="68"/>
      <c r="TP145" s="68"/>
      <c r="TQ145" s="68"/>
      <c r="TR145" s="68"/>
      <c r="TS145" s="68"/>
      <c r="TT145" s="68"/>
      <c r="TU145" s="68"/>
      <c r="TV145" s="68"/>
      <c r="TW145" s="68"/>
      <c r="TX145" s="68"/>
      <c r="TY145" s="68"/>
      <c r="TZ145" s="68"/>
      <c r="UA145" s="68"/>
      <c r="UB145" s="68"/>
      <c r="UC145" s="68"/>
      <c r="UD145" s="68"/>
      <c r="UE145" s="68"/>
      <c r="UF145" s="68"/>
      <c r="UG145" s="68"/>
      <c r="UH145" s="68"/>
      <c r="UI145" s="68"/>
      <c r="UJ145" s="68"/>
      <c r="UK145" s="68"/>
      <c r="UL145" s="68"/>
      <c r="UM145" s="68"/>
      <c r="UN145" s="68"/>
      <c r="UO145" s="68"/>
      <c r="UP145" s="68"/>
      <c r="UQ145" s="68"/>
      <c r="UR145" s="68"/>
      <c r="US145" s="68"/>
      <c r="UT145" s="68"/>
      <c r="UU145" s="68"/>
      <c r="UV145" s="68"/>
      <c r="UW145" s="68"/>
      <c r="UX145" s="68"/>
      <c r="UY145" s="68"/>
      <c r="UZ145" s="68"/>
      <c r="VA145" s="68"/>
      <c r="VB145" s="68"/>
      <c r="VC145" s="68"/>
      <c r="VD145" s="68"/>
      <c r="VE145" s="68"/>
      <c r="VF145" s="68"/>
      <c r="VG145" s="68"/>
      <c r="VH145" s="68"/>
      <c r="VI145" s="68"/>
      <c r="VJ145" s="68"/>
      <c r="VK145" s="68"/>
      <c r="VL145" s="68"/>
      <c r="VM145" s="68"/>
      <c r="VN145" s="68"/>
      <c r="VO145" s="68"/>
      <c r="VP145" s="68"/>
      <c r="VQ145" s="68"/>
      <c r="VR145" s="68"/>
      <c r="VS145" s="68"/>
      <c r="VT145" s="68"/>
      <c r="VU145" s="68"/>
      <c r="VV145" s="68"/>
      <c r="VW145" s="68"/>
      <c r="VX145" s="68"/>
      <c r="VY145" s="68"/>
      <c r="VZ145" s="68"/>
      <c r="WA145" s="68"/>
      <c r="WB145" s="68"/>
      <c r="WC145" s="68"/>
      <c r="WD145" s="68"/>
      <c r="WE145" s="68"/>
      <c r="WF145" s="68"/>
      <c r="WG145" s="68"/>
      <c r="WH145" s="68"/>
      <c r="WI145" s="68"/>
      <c r="WJ145" s="68"/>
      <c r="WK145" s="68"/>
      <c r="WL145" s="68"/>
      <c r="WM145" s="68"/>
      <c r="WN145" s="68"/>
      <c r="WO145" s="68"/>
      <c r="WP145" s="68"/>
      <c r="WQ145" s="68"/>
      <c r="WR145" s="68"/>
      <c r="WS145" s="68"/>
      <c r="WT145" s="68"/>
      <c r="WU145" s="68"/>
      <c r="WV145" s="68"/>
      <c r="WW145" s="68"/>
      <c r="WX145" s="68"/>
      <c r="WY145" s="68"/>
      <c r="WZ145" s="68"/>
      <c r="XA145" s="68"/>
      <c r="XB145" s="68"/>
      <c r="XC145" s="68"/>
      <c r="XD145" s="68"/>
      <c r="XE145" s="68"/>
      <c r="XF145" s="68"/>
      <c r="XG145" s="68"/>
      <c r="XH145" s="68"/>
      <c r="XI145" s="68"/>
      <c r="XJ145" s="68"/>
      <c r="XK145" s="68"/>
      <c r="XL145" s="68"/>
      <c r="XM145" s="68"/>
      <c r="XN145" s="68"/>
      <c r="XO145" s="68"/>
      <c r="XP145" s="68"/>
      <c r="XQ145" s="68"/>
      <c r="XR145" s="68"/>
      <c r="XS145" s="68"/>
      <c r="XT145" s="68"/>
      <c r="XU145" s="68"/>
      <c r="XV145" s="68"/>
      <c r="XW145" s="68"/>
      <c r="XX145" s="68"/>
      <c r="XY145" s="68"/>
      <c r="XZ145" s="68"/>
      <c r="YA145" s="68"/>
      <c r="YB145" s="68"/>
      <c r="YC145" s="68"/>
      <c r="YD145" s="68"/>
      <c r="YE145" s="68"/>
      <c r="YF145" s="68"/>
      <c r="YG145" s="68"/>
      <c r="YH145" s="68"/>
      <c r="YI145" s="68"/>
      <c r="YJ145" s="68"/>
      <c r="YK145" s="68"/>
      <c r="YL145" s="68"/>
      <c r="YM145" s="68"/>
      <c r="YN145" s="68"/>
      <c r="YO145" s="68"/>
      <c r="YP145" s="68"/>
      <c r="YQ145" s="68"/>
      <c r="YR145" s="68"/>
      <c r="YS145" s="68"/>
      <c r="YT145" s="68"/>
      <c r="YU145" s="68"/>
      <c r="YV145" s="68"/>
      <c r="YW145" s="68"/>
      <c r="YX145" s="68"/>
      <c r="YY145" s="68"/>
      <c r="YZ145" s="68"/>
      <c r="ZA145" s="68"/>
      <c r="ZB145" s="68"/>
      <c r="ZC145" s="68"/>
      <c r="ZD145" s="68"/>
      <c r="ZE145" s="68"/>
      <c r="ZF145" s="68"/>
      <c r="ZG145" s="68"/>
      <c r="ZH145" s="68"/>
      <c r="ZI145" s="68"/>
      <c r="ZJ145" s="68"/>
      <c r="ZK145" s="68"/>
      <c r="ZL145" s="68"/>
      <c r="ZM145" s="68"/>
      <c r="ZN145" s="68"/>
      <c r="ZO145" s="68"/>
      <c r="ZP145" s="68"/>
      <c r="ZQ145" s="68"/>
      <c r="ZR145" s="68"/>
      <c r="ZS145" s="68"/>
      <c r="ZT145" s="68"/>
      <c r="ZU145" s="68"/>
      <c r="ZV145" s="68"/>
      <c r="ZW145" s="68"/>
      <c r="ZX145" s="68"/>
      <c r="ZY145" s="68"/>
      <c r="ZZ145" s="68"/>
      <c r="AAA145" s="68"/>
      <c r="AAB145" s="68"/>
      <c r="AAC145" s="68"/>
      <c r="AAD145" s="68"/>
      <c r="AAE145" s="68"/>
      <c r="AAF145" s="68"/>
      <c r="AAG145" s="68"/>
      <c r="AAH145" s="68"/>
      <c r="AAI145" s="68"/>
      <c r="AAJ145" s="68"/>
      <c r="AAK145" s="68"/>
      <c r="AAL145" s="68"/>
      <c r="AAM145" s="68"/>
      <c r="AAN145" s="68"/>
      <c r="AAO145" s="68"/>
      <c r="AAP145" s="68"/>
      <c r="AAQ145" s="68"/>
      <c r="AAR145" s="68"/>
      <c r="AAS145" s="68"/>
      <c r="AAT145" s="68"/>
      <c r="AAU145" s="68"/>
      <c r="AAV145" s="68"/>
      <c r="AAW145" s="68"/>
      <c r="AAX145" s="68"/>
      <c r="AAY145" s="68"/>
      <c r="AAZ145" s="68"/>
      <c r="ABA145" s="68"/>
      <c r="ABB145" s="68"/>
      <c r="ABC145" s="68"/>
      <c r="ABD145" s="68"/>
      <c r="ABE145" s="68"/>
      <c r="ABF145" s="68"/>
      <c r="ABG145" s="68"/>
      <c r="ABH145" s="68"/>
      <c r="ABI145" s="68"/>
      <c r="ABJ145" s="68"/>
      <c r="ABK145" s="68"/>
      <c r="ABL145" s="68"/>
      <c r="ABM145" s="68"/>
      <c r="ABN145" s="68"/>
      <c r="ABO145" s="68"/>
      <c r="ABP145" s="68"/>
      <c r="ABQ145" s="68"/>
      <c r="ABR145" s="68"/>
      <c r="ABS145" s="68"/>
      <c r="ABT145" s="68"/>
      <c r="ABU145" s="68"/>
      <c r="ABV145" s="68"/>
      <c r="ABW145" s="68"/>
      <c r="ABX145" s="68"/>
      <c r="ABY145" s="68"/>
      <c r="ABZ145" s="68"/>
      <c r="ACA145" s="68"/>
      <c r="ACB145" s="68"/>
      <c r="ACC145" s="68"/>
      <c r="ACD145" s="68"/>
      <c r="ACE145" s="68"/>
      <c r="ACF145" s="68"/>
      <c r="ACG145" s="68"/>
      <c r="ACH145" s="68"/>
      <c r="ACI145" s="68"/>
      <c r="ACJ145" s="68"/>
      <c r="ACK145" s="68"/>
      <c r="ACL145" s="68"/>
      <c r="ACM145" s="68"/>
      <c r="ACN145" s="68"/>
      <c r="ACO145" s="68"/>
      <c r="ACP145" s="68"/>
      <c r="ACQ145" s="68"/>
      <c r="ACR145" s="68"/>
      <c r="ACS145" s="68"/>
      <c r="ACT145" s="68"/>
      <c r="ACU145" s="68"/>
      <c r="ACV145" s="68"/>
      <c r="ACW145" s="68"/>
      <c r="ACX145" s="68"/>
      <c r="ACY145" s="68"/>
      <c r="ACZ145" s="68"/>
      <c r="ADA145" s="68"/>
      <c r="ADB145" s="68"/>
      <c r="ADC145" s="68"/>
      <c r="ADD145" s="68"/>
      <c r="ADE145" s="68"/>
      <c r="ADF145" s="68"/>
      <c r="ADG145" s="68"/>
      <c r="ADH145" s="68"/>
      <c r="ADI145" s="68"/>
      <c r="ADJ145" s="68"/>
      <c r="ADK145" s="68"/>
      <c r="ADL145" s="68"/>
      <c r="ADM145" s="68"/>
      <c r="ADN145" s="68"/>
      <c r="ADO145" s="68"/>
      <c r="ADP145" s="68"/>
      <c r="ADQ145" s="68"/>
      <c r="ADR145" s="68"/>
      <c r="ADS145" s="68"/>
      <c r="ADT145" s="68"/>
      <c r="ADU145" s="68"/>
      <c r="ADV145" s="68"/>
      <c r="ADW145" s="68"/>
      <c r="ADX145" s="68"/>
      <c r="ADY145" s="68"/>
      <c r="ADZ145" s="68"/>
      <c r="AEA145" s="68"/>
      <c r="AEB145" s="68"/>
      <c r="AEC145" s="68"/>
      <c r="AED145" s="68"/>
      <c r="AEE145" s="68"/>
      <c r="AEF145" s="68"/>
      <c r="AEG145" s="68"/>
      <c r="AEH145" s="68"/>
      <c r="AEI145" s="68"/>
      <c r="AEJ145" s="68"/>
      <c r="AEK145" s="68"/>
      <c r="AEL145" s="68"/>
      <c r="AEM145" s="68"/>
      <c r="AEN145" s="68"/>
      <c r="AEO145" s="68"/>
      <c r="AEP145" s="68"/>
      <c r="AEQ145" s="68"/>
      <c r="AER145" s="68"/>
      <c r="AES145" s="68"/>
      <c r="AET145" s="68"/>
      <c r="AEU145" s="68"/>
      <c r="AEV145" s="68"/>
      <c r="AEW145" s="68"/>
      <c r="AEX145" s="68"/>
      <c r="AEY145" s="68"/>
      <c r="AEZ145" s="68"/>
      <c r="AFA145" s="68"/>
      <c r="AFB145" s="68"/>
      <c r="AFC145" s="68"/>
      <c r="AFD145" s="68"/>
      <c r="AFE145" s="68"/>
      <c r="AFF145" s="68"/>
      <c r="AFG145" s="68"/>
      <c r="AFH145" s="68"/>
      <c r="AFI145" s="68"/>
      <c r="AFJ145" s="68"/>
      <c r="AFK145" s="68"/>
      <c r="AFL145" s="68"/>
      <c r="AFM145" s="68"/>
      <c r="AFN145" s="68"/>
      <c r="AFO145" s="68"/>
      <c r="AFP145" s="68"/>
      <c r="AFQ145" s="68"/>
      <c r="AFR145" s="68"/>
      <c r="AFS145" s="68"/>
      <c r="AFT145" s="68"/>
      <c r="AFU145" s="68"/>
      <c r="AFV145" s="68"/>
      <c r="AFW145" s="68"/>
      <c r="AFX145" s="68"/>
      <c r="AFY145" s="68"/>
      <c r="AFZ145" s="68"/>
      <c r="AGA145" s="68"/>
      <c r="AGB145" s="68"/>
      <c r="AGC145" s="68"/>
      <c r="AGD145" s="68"/>
      <c r="AGE145" s="68"/>
      <c r="AGF145" s="68"/>
      <c r="AGG145" s="68"/>
      <c r="AGH145" s="68"/>
      <c r="AGI145" s="68"/>
      <c r="AGJ145" s="68"/>
      <c r="AGK145" s="68"/>
      <c r="AGL145" s="68"/>
      <c r="AGM145" s="68"/>
      <c r="AGN145" s="68"/>
      <c r="AGO145" s="68"/>
      <c r="AGP145" s="68"/>
      <c r="AGQ145" s="68"/>
      <c r="AGR145" s="68"/>
      <c r="AGS145" s="68"/>
      <c r="AGT145" s="68"/>
      <c r="AGU145" s="68"/>
      <c r="AGV145" s="68"/>
      <c r="AGW145" s="68"/>
      <c r="AGX145" s="68"/>
      <c r="AGY145" s="68"/>
      <c r="AGZ145" s="68"/>
      <c r="AHA145" s="68"/>
      <c r="AHB145" s="68"/>
      <c r="AHC145" s="68"/>
      <c r="AHD145" s="68"/>
      <c r="AHE145" s="68"/>
      <c r="AHF145" s="68"/>
      <c r="AHG145" s="68"/>
      <c r="AHH145" s="68"/>
      <c r="AHI145" s="68"/>
      <c r="AHJ145" s="68"/>
      <c r="AHK145" s="68"/>
      <c r="AHL145" s="68"/>
      <c r="AHM145" s="68"/>
      <c r="AHN145" s="68"/>
      <c r="AHO145" s="68"/>
      <c r="AHP145" s="68"/>
      <c r="AHQ145" s="68"/>
      <c r="AHR145" s="68"/>
      <c r="AHS145" s="68"/>
      <c r="AHT145" s="68"/>
      <c r="AHU145" s="68"/>
      <c r="AHV145" s="68"/>
      <c r="AHW145" s="68"/>
      <c r="AHX145" s="68"/>
      <c r="AHY145" s="68"/>
      <c r="AHZ145" s="68"/>
      <c r="AIA145" s="68"/>
      <c r="AIB145" s="68"/>
      <c r="AIC145" s="68"/>
      <c r="AID145" s="68"/>
      <c r="AIE145" s="68"/>
      <c r="AIF145" s="68"/>
      <c r="AIG145" s="68"/>
      <c r="AIH145" s="68"/>
      <c r="AII145" s="68"/>
      <c r="AIJ145" s="68"/>
      <c r="AIK145" s="68"/>
      <c r="AIL145" s="68"/>
      <c r="AIM145" s="68"/>
      <c r="AIN145" s="68"/>
      <c r="AIO145" s="68"/>
      <c r="AIP145" s="68"/>
      <c r="AIQ145" s="68"/>
      <c r="AIR145" s="68"/>
      <c r="AIS145" s="68"/>
      <c r="AIT145" s="68"/>
      <c r="AIU145" s="68"/>
      <c r="AIV145" s="68"/>
      <c r="AIW145" s="68"/>
      <c r="AIX145" s="68"/>
      <c r="AIY145" s="68"/>
      <c r="AIZ145" s="68"/>
      <c r="AJA145" s="68"/>
      <c r="AJB145" s="68"/>
      <c r="AJC145" s="68"/>
    </row>
    <row r="146" spans="1:939" s="85" customFormat="1" ht="25.5" customHeight="1" thickBot="1" x14ac:dyDescent="0.3">
      <c r="A146" s="484"/>
      <c r="B146" s="485"/>
      <c r="C146" s="491"/>
      <c r="D146" s="493" t="s">
        <v>18</v>
      </c>
      <c r="E146" s="494"/>
      <c r="F146" s="494"/>
      <c r="G146" s="494"/>
      <c r="H146" s="494"/>
      <c r="I146" s="494"/>
      <c r="J146" s="494"/>
      <c r="K146" s="494"/>
      <c r="L146" s="494"/>
      <c r="M146" s="172"/>
      <c r="N146" s="141">
        <f t="shared" si="25"/>
        <v>31777311969</v>
      </c>
      <c r="O146" s="141">
        <f t="shared" si="25"/>
        <v>0</v>
      </c>
      <c r="P146" s="141">
        <f t="shared" si="25"/>
        <v>31859249643</v>
      </c>
      <c r="Q146" s="141">
        <f t="shared" si="25"/>
        <v>0</v>
      </c>
      <c r="R146" s="141">
        <f t="shared" si="25"/>
        <v>11608502507.734192</v>
      </c>
      <c r="S146" s="141">
        <f t="shared" si="25"/>
        <v>3488879860.0944376</v>
      </c>
      <c r="T146" s="141">
        <f t="shared" si="25"/>
        <v>20250747135.265808</v>
      </c>
      <c r="U146" s="141">
        <f t="shared" si="25"/>
        <v>0</v>
      </c>
      <c r="V146" s="173"/>
      <c r="W146" s="95"/>
      <c r="X146" s="47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  <c r="BQ146" s="68"/>
      <c r="BR146" s="68"/>
      <c r="BS146" s="68"/>
      <c r="BT146" s="68"/>
      <c r="BU146" s="68"/>
      <c r="BV146" s="68"/>
      <c r="BW146" s="68"/>
      <c r="BX146" s="68"/>
      <c r="BY146" s="68"/>
      <c r="BZ146" s="68"/>
      <c r="CA146" s="68"/>
      <c r="CB146" s="68"/>
      <c r="CC146" s="68"/>
      <c r="CD146" s="68"/>
      <c r="CE146" s="68"/>
      <c r="CF146" s="68"/>
      <c r="CG146" s="68"/>
      <c r="CH146" s="68"/>
      <c r="CI146" s="68"/>
      <c r="CJ146" s="68"/>
      <c r="CK146" s="68"/>
      <c r="CL146" s="68"/>
      <c r="CM146" s="68"/>
      <c r="CN146" s="68"/>
      <c r="CO146" s="68"/>
      <c r="CP146" s="68"/>
      <c r="CQ146" s="68"/>
      <c r="CR146" s="68"/>
      <c r="CS146" s="68"/>
      <c r="CT146" s="68"/>
      <c r="CU146" s="68"/>
      <c r="CV146" s="68"/>
      <c r="CW146" s="68"/>
      <c r="CX146" s="68"/>
      <c r="CY146" s="68"/>
      <c r="CZ146" s="68"/>
      <c r="DA146" s="68"/>
      <c r="DB146" s="68"/>
      <c r="DC146" s="68"/>
      <c r="DD146" s="68"/>
      <c r="DE146" s="68"/>
      <c r="DF146" s="68"/>
      <c r="DG146" s="68"/>
      <c r="DH146" s="68"/>
      <c r="DI146" s="68"/>
      <c r="DJ146" s="68"/>
      <c r="DK146" s="68"/>
      <c r="DL146" s="68"/>
      <c r="DM146" s="68"/>
      <c r="DN146" s="68"/>
      <c r="DO146" s="68"/>
      <c r="DP146" s="68"/>
      <c r="DQ146" s="68"/>
      <c r="DR146" s="68"/>
      <c r="DS146" s="68"/>
      <c r="DT146" s="68"/>
      <c r="DU146" s="68"/>
      <c r="DV146" s="68"/>
      <c r="DW146" s="68"/>
      <c r="DX146" s="68"/>
      <c r="DY146" s="68"/>
      <c r="DZ146" s="68"/>
      <c r="EA146" s="68"/>
      <c r="EB146" s="68"/>
      <c r="EC146" s="68"/>
      <c r="ED146" s="68"/>
      <c r="EE146" s="68"/>
      <c r="EF146" s="68"/>
      <c r="EG146" s="68"/>
      <c r="EH146" s="68"/>
      <c r="EI146" s="68"/>
      <c r="EJ146" s="68"/>
      <c r="EK146" s="68"/>
      <c r="EL146" s="68"/>
      <c r="EM146" s="68"/>
      <c r="EN146" s="68"/>
      <c r="EO146" s="68"/>
      <c r="EP146" s="68"/>
      <c r="EQ146" s="68"/>
      <c r="ER146" s="68"/>
      <c r="ES146" s="68"/>
      <c r="ET146" s="68"/>
      <c r="EU146" s="68"/>
      <c r="EV146" s="68"/>
      <c r="EW146" s="68"/>
      <c r="EX146" s="68"/>
      <c r="EY146" s="68"/>
      <c r="EZ146" s="68"/>
      <c r="FA146" s="68"/>
      <c r="FB146" s="68"/>
      <c r="FC146" s="68"/>
      <c r="FD146" s="68"/>
      <c r="FE146" s="68"/>
      <c r="FF146" s="68"/>
      <c r="FG146" s="68"/>
      <c r="FH146" s="68"/>
      <c r="FI146" s="68"/>
      <c r="FJ146" s="68"/>
      <c r="FK146" s="68"/>
      <c r="FL146" s="68"/>
      <c r="FM146" s="68"/>
      <c r="FN146" s="68"/>
      <c r="FO146" s="68"/>
      <c r="FP146" s="68"/>
      <c r="FQ146" s="68"/>
      <c r="FR146" s="68"/>
      <c r="FS146" s="68"/>
      <c r="FT146" s="68"/>
      <c r="FU146" s="68"/>
      <c r="FV146" s="68"/>
      <c r="FW146" s="68"/>
      <c r="FX146" s="68"/>
      <c r="FY146" s="68"/>
      <c r="FZ146" s="68"/>
      <c r="GA146" s="68"/>
      <c r="GB146" s="68"/>
      <c r="GC146" s="68"/>
      <c r="GD146" s="68"/>
      <c r="GE146" s="68"/>
      <c r="GF146" s="68"/>
      <c r="GG146" s="68"/>
      <c r="GH146" s="68"/>
      <c r="GI146" s="68"/>
      <c r="GJ146" s="68"/>
      <c r="GK146" s="68"/>
      <c r="GL146" s="68"/>
      <c r="GM146" s="68"/>
      <c r="GN146" s="68"/>
      <c r="GO146" s="68"/>
      <c r="GP146" s="68"/>
      <c r="GQ146" s="68"/>
      <c r="GR146" s="68"/>
      <c r="GS146" s="68"/>
      <c r="GT146" s="68"/>
      <c r="GU146" s="68"/>
      <c r="GV146" s="68"/>
      <c r="GW146" s="68"/>
      <c r="GX146" s="68"/>
      <c r="GY146" s="68"/>
      <c r="GZ146" s="68"/>
      <c r="HA146" s="68"/>
      <c r="HB146" s="68"/>
      <c r="HC146" s="68"/>
      <c r="HD146" s="68"/>
      <c r="HE146" s="68"/>
      <c r="HF146" s="68"/>
      <c r="HG146" s="68"/>
      <c r="HH146" s="68"/>
      <c r="HI146" s="68"/>
      <c r="HJ146" s="68"/>
      <c r="HK146" s="68"/>
      <c r="HL146" s="68"/>
      <c r="HM146" s="68"/>
      <c r="HN146" s="68"/>
      <c r="HO146" s="68"/>
      <c r="HP146" s="68"/>
      <c r="HQ146" s="68"/>
      <c r="HR146" s="68"/>
      <c r="HS146" s="68"/>
      <c r="HT146" s="68"/>
      <c r="HU146" s="68"/>
      <c r="HV146" s="68"/>
      <c r="HW146" s="68"/>
      <c r="HX146" s="68"/>
      <c r="HY146" s="68"/>
      <c r="HZ146" s="68"/>
      <c r="IA146" s="68"/>
      <c r="IB146" s="68"/>
      <c r="IC146" s="68"/>
      <c r="ID146" s="68"/>
      <c r="IE146" s="68"/>
      <c r="IF146" s="68"/>
      <c r="IG146" s="68"/>
      <c r="IH146" s="68"/>
      <c r="II146" s="68"/>
      <c r="IJ146" s="68"/>
      <c r="IK146" s="68"/>
      <c r="IL146" s="68"/>
      <c r="IM146" s="68"/>
      <c r="IN146" s="68"/>
      <c r="IO146" s="68"/>
      <c r="IP146" s="68"/>
      <c r="IQ146" s="68"/>
      <c r="IR146" s="68"/>
      <c r="IS146" s="68"/>
      <c r="IT146" s="68"/>
      <c r="IU146" s="68"/>
      <c r="IV146" s="68"/>
      <c r="IW146" s="68"/>
      <c r="IX146" s="68"/>
      <c r="IY146" s="68"/>
      <c r="IZ146" s="68"/>
      <c r="JA146" s="68"/>
      <c r="JB146" s="68"/>
      <c r="JC146" s="68"/>
      <c r="JD146" s="68"/>
      <c r="JE146" s="68"/>
      <c r="JF146" s="68"/>
      <c r="JG146" s="68"/>
      <c r="JH146" s="68"/>
      <c r="JI146" s="68"/>
      <c r="JJ146" s="68"/>
      <c r="JK146" s="68"/>
      <c r="JL146" s="68"/>
      <c r="JM146" s="68"/>
      <c r="JN146" s="68"/>
      <c r="JO146" s="68"/>
      <c r="JP146" s="68"/>
      <c r="JQ146" s="68"/>
      <c r="JR146" s="68"/>
      <c r="JS146" s="68"/>
      <c r="JT146" s="68"/>
      <c r="JU146" s="68"/>
      <c r="JV146" s="68"/>
      <c r="JW146" s="68"/>
      <c r="JX146" s="68"/>
      <c r="JY146" s="68"/>
      <c r="JZ146" s="68"/>
      <c r="KA146" s="68"/>
      <c r="KB146" s="68"/>
      <c r="KC146" s="68"/>
      <c r="KD146" s="68"/>
      <c r="KE146" s="68"/>
      <c r="KF146" s="68"/>
      <c r="KG146" s="68"/>
      <c r="KH146" s="68"/>
      <c r="KI146" s="68"/>
      <c r="KJ146" s="68"/>
      <c r="KK146" s="68"/>
      <c r="KL146" s="68"/>
      <c r="KM146" s="68"/>
      <c r="KN146" s="68"/>
      <c r="KO146" s="68"/>
      <c r="KP146" s="68"/>
      <c r="KQ146" s="68"/>
      <c r="KR146" s="68"/>
      <c r="KS146" s="68"/>
      <c r="KT146" s="68"/>
      <c r="KU146" s="68"/>
      <c r="KV146" s="68"/>
      <c r="KW146" s="68"/>
      <c r="KX146" s="68"/>
      <c r="KY146" s="68"/>
      <c r="KZ146" s="68"/>
      <c r="LA146" s="68"/>
      <c r="LB146" s="68"/>
      <c r="LC146" s="68"/>
      <c r="LD146" s="68"/>
      <c r="LE146" s="68"/>
      <c r="LF146" s="68"/>
      <c r="LG146" s="68"/>
      <c r="LH146" s="68"/>
      <c r="LI146" s="68"/>
      <c r="LJ146" s="68"/>
      <c r="LK146" s="68"/>
      <c r="LL146" s="68"/>
      <c r="LM146" s="68"/>
      <c r="LN146" s="68"/>
      <c r="LO146" s="68"/>
      <c r="LP146" s="68"/>
      <c r="LQ146" s="68"/>
      <c r="LR146" s="68"/>
      <c r="LS146" s="68"/>
      <c r="LT146" s="68"/>
      <c r="LU146" s="68"/>
      <c r="LV146" s="68"/>
      <c r="LW146" s="68"/>
      <c r="LX146" s="68"/>
      <c r="LY146" s="68"/>
      <c r="LZ146" s="68"/>
      <c r="MA146" s="68"/>
      <c r="MB146" s="68"/>
      <c r="MC146" s="68"/>
      <c r="MD146" s="68"/>
      <c r="ME146" s="68"/>
      <c r="MF146" s="68"/>
      <c r="MG146" s="68"/>
      <c r="MH146" s="68"/>
      <c r="MI146" s="68"/>
      <c r="MJ146" s="68"/>
      <c r="MK146" s="68"/>
      <c r="ML146" s="68"/>
      <c r="MM146" s="68"/>
      <c r="MN146" s="68"/>
      <c r="MO146" s="68"/>
      <c r="MP146" s="68"/>
      <c r="MQ146" s="68"/>
      <c r="MR146" s="68"/>
      <c r="MS146" s="68"/>
      <c r="MT146" s="68"/>
      <c r="MU146" s="68"/>
      <c r="MV146" s="68"/>
      <c r="MW146" s="68"/>
      <c r="MX146" s="68"/>
      <c r="MY146" s="68"/>
      <c r="MZ146" s="68"/>
      <c r="NA146" s="68"/>
      <c r="NB146" s="68"/>
      <c r="NC146" s="68"/>
      <c r="ND146" s="68"/>
      <c r="NE146" s="68"/>
      <c r="NF146" s="68"/>
      <c r="NG146" s="68"/>
      <c r="NH146" s="68"/>
      <c r="NI146" s="68"/>
      <c r="NJ146" s="68"/>
      <c r="NK146" s="68"/>
      <c r="NL146" s="68"/>
      <c r="NM146" s="68"/>
      <c r="NN146" s="68"/>
      <c r="NO146" s="68"/>
      <c r="NP146" s="68"/>
      <c r="NQ146" s="68"/>
      <c r="NR146" s="68"/>
      <c r="NS146" s="68"/>
      <c r="NT146" s="68"/>
      <c r="NU146" s="68"/>
      <c r="NV146" s="68"/>
      <c r="NW146" s="68"/>
      <c r="NX146" s="68"/>
      <c r="NY146" s="68"/>
      <c r="NZ146" s="68"/>
      <c r="OA146" s="68"/>
      <c r="OB146" s="68"/>
      <c r="OC146" s="68"/>
      <c r="OD146" s="68"/>
      <c r="OE146" s="68"/>
      <c r="OF146" s="68"/>
      <c r="OG146" s="68"/>
      <c r="OH146" s="68"/>
      <c r="OI146" s="68"/>
      <c r="OJ146" s="68"/>
      <c r="OK146" s="68"/>
      <c r="OL146" s="68"/>
      <c r="OM146" s="68"/>
      <c r="ON146" s="68"/>
      <c r="OO146" s="68"/>
      <c r="OP146" s="68"/>
      <c r="OQ146" s="68"/>
      <c r="OR146" s="68"/>
      <c r="OS146" s="68"/>
      <c r="OT146" s="68"/>
      <c r="OU146" s="68"/>
      <c r="OV146" s="68"/>
      <c r="OW146" s="68"/>
      <c r="OX146" s="68"/>
      <c r="OY146" s="68"/>
      <c r="OZ146" s="68"/>
      <c r="PA146" s="68"/>
      <c r="PB146" s="68"/>
      <c r="PC146" s="68"/>
      <c r="PD146" s="68"/>
      <c r="PE146" s="68"/>
      <c r="PF146" s="68"/>
      <c r="PG146" s="68"/>
      <c r="PH146" s="68"/>
      <c r="PI146" s="68"/>
      <c r="PJ146" s="68"/>
      <c r="PK146" s="68"/>
      <c r="PL146" s="68"/>
      <c r="PM146" s="68"/>
      <c r="PN146" s="68"/>
      <c r="PO146" s="68"/>
      <c r="PP146" s="68"/>
      <c r="PQ146" s="68"/>
      <c r="PR146" s="68"/>
      <c r="PS146" s="68"/>
      <c r="PT146" s="68"/>
      <c r="PU146" s="68"/>
      <c r="PV146" s="68"/>
      <c r="PW146" s="68"/>
      <c r="PX146" s="68"/>
      <c r="PY146" s="68"/>
      <c r="PZ146" s="68"/>
      <c r="QA146" s="68"/>
      <c r="QB146" s="68"/>
      <c r="QC146" s="68"/>
      <c r="QD146" s="68"/>
      <c r="QE146" s="68"/>
      <c r="QF146" s="68"/>
      <c r="QG146" s="68"/>
      <c r="QH146" s="68"/>
      <c r="QI146" s="68"/>
      <c r="QJ146" s="68"/>
      <c r="QK146" s="68"/>
      <c r="QL146" s="68"/>
      <c r="QM146" s="68"/>
      <c r="QN146" s="68"/>
      <c r="QO146" s="68"/>
      <c r="QP146" s="68"/>
      <c r="QQ146" s="68"/>
      <c r="QR146" s="68"/>
      <c r="QS146" s="68"/>
      <c r="QT146" s="68"/>
      <c r="QU146" s="68"/>
      <c r="QV146" s="68"/>
      <c r="QW146" s="68"/>
      <c r="QX146" s="68"/>
      <c r="QY146" s="68"/>
      <c r="QZ146" s="68"/>
      <c r="RA146" s="68"/>
      <c r="RB146" s="68"/>
      <c r="RC146" s="68"/>
      <c r="RD146" s="68"/>
      <c r="RE146" s="68"/>
      <c r="RF146" s="68"/>
      <c r="RG146" s="68"/>
      <c r="RH146" s="68"/>
      <c r="RI146" s="68"/>
      <c r="RJ146" s="68"/>
      <c r="RK146" s="68"/>
      <c r="RL146" s="68"/>
      <c r="RM146" s="68"/>
      <c r="RN146" s="68"/>
      <c r="RO146" s="68"/>
      <c r="RP146" s="68"/>
      <c r="RQ146" s="68"/>
      <c r="RR146" s="68"/>
      <c r="RS146" s="68"/>
      <c r="RT146" s="68"/>
      <c r="RU146" s="68"/>
      <c r="RV146" s="68"/>
      <c r="RW146" s="68"/>
      <c r="RX146" s="68"/>
      <c r="RY146" s="68"/>
      <c r="RZ146" s="68"/>
      <c r="SA146" s="68"/>
      <c r="SB146" s="68"/>
      <c r="SC146" s="68"/>
      <c r="SD146" s="68"/>
      <c r="SE146" s="68"/>
      <c r="SF146" s="68"/>
      <c r="SG146" s="68"/>
      <c r="SH146" s="68"/>
      <c r="SI146" s="68"/>
      <c r="SJ146" s="68"/>
      <c r="SK146" s="68"/>
      <c r="SL146" s="68"/>
      <c r="SM146" s="68"/>
      <c r="SN146" s="68"/>
      <c r="SO146" s="68"/>
      <c r="SP146" s="68"/>
      <c r="SQ146" s="68"/>
      <c r="SR146" s="68"/>
      <c r="SS146" s="68"/>
      <c r="ST146" s="68"/>
      <c r="SU146" s="68"/>
      <c r="SV146" s="68"/>
      <c r="SW146" s="68"/>
      <c r="SX146" s="68"/>
      <c r="SY146" s="68"/>
      <c r="SZ146" s="68"/>
      <c r="TA146" s="68"/>
      <c r="TB146" s="68"/>
      <c r="TC146" s="68"/>
      <c r="TD146" s="68"/>
      <c r="TE146" s="68"/>
      <c r="TF146" s="68"/>
      <c r="TG146" s="68"/>
      <c r="TH146" s="68"/>
      <c r="TI146" s="68"/>
      <c r="TJ146" s="68"/>
      <c r="TK146" s="68"/>
      <c r="TL146" s="68"/>
      <c r="TM146" s="68"/>
      <c r="TN146" s="68"/>
      <c r="TO146" s="68"/>
      <c r="TP146" s="68"/>
      <c r="TQ146" s="68"/>
      <c r="TR146" s="68"/>
      <c r="TS146" s="68"/>
      <c r="TT146" s="68"/>
      <c r="TU146" s="68"/>
      <c r="TV146" s="68"/>
      <c r="TW146" s="68"/>
      <c r="TX146" s="68"/>
      <c r="TY146" s="68"/>
      <c r="TZ146" s="68"/>
      <c r="UA146" s="68"/>
      <c r="UB146" s="68"/>
      <c r="UC146" s="68"/>
      <c r="UD146" s="68"/>
      <c r="UE146" s="68"/>
      <c r="UF146" s="68"/>
      <c r="UG146" s="68"/>
      <c r="UH146" s="68"/>
      <c r="UI146" s="68"/>
      <c r="UJ146" s="68"/>
      <c r="UK146" s="68"/>
      <c r="UL146" s="68"/>
      <c r="UM146" s="68"/>
      <c r="UN146" s="68"/>
      <c r="UO146" s="68"/>
      <c r="UP146" s="68"/>
      <c r="UQ146" s="68"/>
      <c r="UR146" s="68"/>
      <c r="US146" s="68"/>
      <c r="UT146" s="68"/>
      <c r="UU146" s="68"/>
      <c r="UV146" s="68"/>
      <c r="UW146" s="68"/>
      <c r="UX146" s="68"/>
      <c r="UY146" s="68"/>
      <c r="UZ146" s="68"/>
      <c r="VA146" s="68"/>
      <c r="VB146" s="68"/>
      <c r="VC146" s="68"/>
      <c r="VD146" s="68"/>
      <c r="VE146" s="68"/>
      <c r="VF146" s="68"/>
      <c r="VG146" s="68"/>
      <c r="VH146" s="68"/>
      <c r="VI146" s="68"/>
      <c r="VJ146" s="68"/>
      <c r="VK146" s="68"/>
      <c r="VL146" s="68"/>
      <c r="VM146" s="68"/>
      <c r="VN146" s="68"/>
      <c r="VO146" s="68"/>
      <c r="VP146" s="68"/>
      <c r="VQ146" s="68"/>
      <c r="VR146" s="68"/>
      <c r="VS146" s="68"/>
      <c r="VT146" s="68"/>
      <c r="VU146" s="68"/>
      <c r="VV146" s="68"/>
      <c r="VW146" s="68"/>
      <c r="VX146" s="68"/>
      <c r="VY146" s="68"/>
      <c r="VZ146" s="68"/>
      <c r="WA146" s="68"/>
      <c r="WB146" s="68"/>
      <c r="WC146" s="68"/>
      <c r="WD146" s="68"/>
      <c r="WE146" s="68"/>
      <c r="WF146" s="68"/>
      <c r="WG146" s="68"/>
      <c r="WH146" s="68"/>
      <c r="WI146" s="68"/>
      <c r="WJ146" s="68"/>
      <c r="WK146" s="68"/>
      <c r="WL146" s="68"/>
      <c r="WM146" s="68"/>
      <c r="WN146" s="68"/>
      <c r="WO146" s="68"/>
      <c r="WP146" s="68"/>
      <c r="WQ146" s="68"/>
      <c r="WR146" s="68"/>
      <c r="WS146" s="68"/>
      <c r="WT146" s="68"/>
      <c r="WU146" s="68"/>
      <c r="WV146" s="68"/>
      <c r="WW146" s="68"/>
      <c r="WX146" s="68"/>
      <c r="WY146" s="68"/>
      <c r="WZ146" s="68"/>
      <c r="XA146" s="68"/>
      <c r="XB146" s="68"/>
      <c r="XC146" s="68"/>
      <c r="XD146" s="68"/>
      <c r="XE146" s="68"/>
      <c r="XF146" s="68"/>
      <c r="XG146" s="68"/>
      <c r="XH146" s="68"/>
      <c r="XI146" s="68"/>
      <c r="XJ146" s="68"/>
      <c r="XK146" s="68"/>
      <c r="XL146" s="68"/>
      <c r="XM146" s="68"/>
      <c r="XN146" s="68"/>
      <c r="XO146" s="68"/>
      <c r="XP146" s="68"/>
      <c r="XQ146" s="68"/>
      <c r="XR146" s="68"/>
      <c r="XS146" s="68"/>
      <c r="XT146" s="68"/>
      <c r="XU146" s="68"/>
      <c r="XV146" s="68"/>
      <c r="XW146" s="68"/>
      <c r="XX146" s="68"/>
      <c r="XY146" s="68"/>
      <c r="XZ146" s="68"/>
      <c r="YA146" s="68"/>
      <c r="YB146" s="68"/>
      <c r="YC146" s="68"/>
      <c r="YD146" s="68"/>
      <c r="YE146" s="68"/>
      <c r="YF146" s="68"/>
      <c r="YG146" s="68"/>
      <c r="YH146" s="68"/>
      <c r="YI146" s="68"/>
      <c r="YJ146" s="68"/>
      <c r="YK146" s="68"/>
      <c r="YL146" s="68"/>
      <c r="YM146" s="68"/>
      <c r="YN146" s="68"/>
      <c r="YO146" s="68"/>
      <c r="YP146" s="68"/>
      <c r="YQ146" s="68"/>
      <c r="YR146" s="68"/>
      <c r="YS146" s="68"/>
      <c r="YT146" s="68"/>
      <c r="YU146" s="68"/>
      <c r="YV146" s="68"/>
      <c r="YW146" s="68"/>
      <c r="YX146" s="68"/>
      <c r="YY146" s="68"/>
      <c r="YZ146" s="68"/>
      <c r="ZA146" s="68"/>
      <c r="ZB146" s="68"/>
      <c r="ZC146" s="68"/>
      <c r="ZD146" s="68"/>
      <c r="ZE146" s="68"/>
      <c r="ZF146" s="68"/>
      <c r="ZG146" s="68"/>
      <c r="ZH146" s="68"/>
      <c r="ZI146" s="68"/>
      <c r="ZJ146" s="68"/>
      <c r="ZK146" s="68"/>
      <c r="ZL146" s="68"/>
      <c r="ZM146" s="68"/>
      <c r="ZN146" s="68"/>
      <c r="ZO146" s="68"/>
      <c r="ZP146" s="68"/>
      <c r="ZQ146" s="68"/>
      <c r="ZR146" s="68"/>
      <c r="ZS146" s="68"/>
      <c r="ZT146" s="68"/>
      <c r="ZU146" s="68"/>
      <c r="ZV146" s="68"/>
      <c r="ZW146" s="68"/>
      <c r="ZX146" s="68"/>
      <c r="ZY146" s="68"/>
      <c r="ZZ146" s="68"/>
      <c r="AAA146" s="68"/>
      <c r="AAB146" s="68"/>
      <c r="AAC146" s="68"/>
      <c r="AAD146" s="68"/>
      <c r="AAE146" s="68"/>
      <c r="AAF146" s="68"/>
      <c r="AAG146" s="68"/>
      <c r="AAH146" s="68"/>
      <c r="AAI146" s="68"/>
      <c r="AAJ146" s="68"/>
      <c r="AAK146" s="68"/>
      <c r="AAL146" s="68"/>
      <c r="AAM146" s="68"/>
      <c r="AAN146" s="68"/>
      <c r="AAO146" s="68"/>
      <c r="AAP146" s="68"/>
      <c r="AAQ146" s="68"/>
      <c r="AAR146" s="68"/>
      <c r="AAS146" s="68"/>
      <c r="AAT146" s="68"/>
      <c r="AAU146" s="68"/>
      <c r="AAV146" s="68"/>
      <c r="AAW146" s="68"/>
      <c r="AAX146" s="68"/>
      <c r="AAY146" s="68"/>
      <c r="AAZ146" s="68"/>
      <c r="ABA146" s="68"/>
      <c r="ABB146" s="68"/>
      <c r="ABC146" s="68"/>
      <c r="ABD146" s="68"/>
      <c r="ABE146" s="68"/>
      <c r="ABF146" s="68"/>
      <c r="ABG146" s="68"/>
      <c r="ABH146" s="68"/>
      <c r="ABI146" s="68"/>
      <c r="ABJ146" s="68"/>
      <c r="ABK146" s="68"/>
      <c r="ABL146" s="68"/>
      <c r="ABM146" s="68"/>
      <c r="ABN146" s="68"/>
      <c r="ABO146" s="68"/>
      <c r="ABP146" s="68"/>
      <c r="ABQ146" s="68"/>
      <c r="ABR146" s="68"/>
      <c r="ABS146" s="68"/>
      <c r="ABT146" s="68"/>
      <c r="ABU146" s="68"/>
      <c r="ABV146" s="68"/>
      <c r="ABW146" s="68"/>
      <c r="ABX146" s="68"/>
      <c r="ABY146" s="68"/>
      <c r="ABZ146" s="68"/>
      <c r="ACA146" s="68"/>
      <c r="ACB146" s="68"/>
      <c r="ACC146" s="68"/>
      <c r="ACD146" s="68"/>
      <c r="ACE146" s="68"/>
      <c r="ACF146" s="68"/>
      <c r="ACG146" s="68"/>
      <c r="ACH146" s="68"/>
      <c r="ACI146" s="68"/>
      <c r="ACJ146" s="68"/>
      <c r="ACK146" s="68"/>
      <c r="ACL146" s="68"/>
      <c r="ACM146" s="68"/>
      <c r="ACN146" s="68"/>
      <c r="ACO146" s="68"/>
      <c r="ACP146" s="68"/>
      <c r="ACQ146" s="68"/>
      <c r="ACR146" s="68"/>
      <c r="ACS146" s="68"/>
      <c r="ACT146" s="68"/>
      <c r="ACU146" s="68"/>
      <c r="ACV146" s="68"/>
      <c r="ACW146" s="68"/>
      <c r="ACX146" s="68"/>
      <c r="ACY146" s="68"/>
      <c r="ACZ146" s="68"/>
      <c r="ADA146" s="68"/>
      <c r="ADB146" s="68"/>
      <c r="ADC146" s="68"/>
      <c r="ADD146" s="68"/>
      <c r="ADE146" s="68"/>
      <c r="ADF146" s="68"/>
      <c r="ADG146" s="68"/>
      <c r="ADH146" s="68"/>
      <c r="ADI146" s="68"/>
      <c r="ADJ146" s="68"/>
      <c r="ADK146" s="68"/>
      <c r="ADL146" s="68"/>
      <c r="ADM146" s="68"/>
      <c r="ADN146" s="68"/>
      <c r="ADO146" s="68"/>
      <c r="ADP146" s="68"/>
      <c r="ADQ146" s="68"/>
      <c r="ADR146" s="68"/>
      <c r="ADS146" s="68"/>
      <c r="ADT146" s="68"/>
      <c r="ADU146" s="68"/>
      <c r="ADV146" s="68"/>
      <c r="ADW146" s="68"/>
      <c r="ADX146" s="68"/>
      <c r="ADY146" s="68"/>
      <c r="ADZ146" s="68"/>
      <c r="AEA146" s="68"/>
      <c r="AEB146" s="68"/>
      <c r="AEC146" s="68"/>
      <c r="AED146" s="68"/>
      <c r="AEE146" s="68"/>
      <c r="AEF146" s="68"/>
      <c r="AEG146" s="68"/>
      <c r="AEH146" s="68"/>
      <c r="AEI146" s="68"/>
      <c r="AEJ146" s="68"/>
      <c r="AEK146" s="68"/>
      <c r="AEL146" s="68"/>
      <c r="AEM146" s="68"/>
      <c r="AEN146" s="68"/>
      <c r="AEO146" s="68"/>
      <c r="AEP146" s="68"/>
      <c r="AEQ146" s="68"/>
      <c r="AER146" s="68"/>
      <c r="AES146" s="68"/>
      <c r="AET146" s="68"/>
      <c r="AEU146" s="68"/>
      <c r="AEV146" s="68"/>
      <c r="AEW146" s="68"/>
      <c r="AEX146" s="68"/>
      <c r="AEY146" s="68"/>
      <c r="AEZ146" s="68"/>
      <c r="AFA146" s="68"/>
      <c r="AFB146" s="68"/>
      <c r="AFC146" s="68"/>
      <c r="AFD146" s="68"/>
      <c r="AFE146" s="68"/>
      <c r="AFF146" s="68"/>
      <c r="AFG146" s="68"/>
      <c r="AFH146" s="68"/>
      <c r="AFI146" s="68"/>
      <c r="AFJ146" s="68"/>
      <c r="AFK146" s="68"/>
      <c r="AFL146" s="68"/>
      <c r="AFM146" s="68"/>
      <c r="AFN146" s="68"/>
      <c r="AFO146" s="68"/>
      <c r="AFP146" s="68"/>
      <c r="AFQ146" s="68"/>
      <c r="AFR146" s="68"/>
      <c r="AFS146" s="68"/>
      <c r="AFT146" s="68"/>
      <c r="AFU146" s="68"/>
      <c r="AFV146" s="68"/>
      <c r="AFW146" s="68"/>
      <c r="AFX146" s="68"/>
      <c r="AFY146" s="68"/>
      <c r="AFZ146" s="68"/>
      <c r="AGA146" s="68"/>
      <c r="AGB146" s="68"/>
      <c r="AGC146" s="68"/>
      <c r="AGD146" s="68"/>
      <c r="AGE146" s="68"/>
      <c r="AGF146" s="68"/>
      <c r="AGG146" s="68"/>
      <c r="AGH146" s="68"/>
      <c r="AGI146" s="68"/>
      <c r="AGJ146" s="68"/>
      <c r="AGK146" s="68"/>
      <c r="AGL146" s="68"/>
      <c r="AGM146" s="68"/>
      <c r="AGN146" s="68"/>
      <c r="AGO146" s="68"/>
      <c r="AGP146" s="68"/>
      <c r="AGQ146" s="68"/>
      <c r="AGR146" s="68"/>
      <c r="AGS146" s="68"/>
      <c r="AGT146" s="68"/>
      <c r="AGU146" s="68"/>
      <c r="AGV146" s="68"/>
      <c r="AGW146" s="68"/>
      <c r="AGX146" s="68"/>
      <c r="AGY146" s="68"/>
      <c r="AGZ146" s="68"/>
      <c r="AHA146" s="68"/>
      <c r="AHB146" s="68"/>
      <c r="AHC146" s="68"/>
      <c r="AHD146" s="68"/>
      <c r="AHE146" s="68"/>
      <c r="AHF146" s="68"/>
      <c r="AHG146" s="68"/>
      <c r="AHH146" s="68"/>
      <c r="AHI146" s="68"/>
      <c r="AHJ146" s="68"/>
      <c r="AHK146" s="68"/>
      <c r="AHL146" s="68"/>
      <c r="AHM146" s="68"/>
      <c r="AHN146" s="68"/>
      <c r="AHO146" s="68"/>
      <c r="AHP146" s="68"/>
      <c r="AHQ146" s="68"/>
      <c r="AHR146" s="68"/>
      <c r="AHS146" s="68"/>
      <c r="AHT146" s="68"/>
      <c r="AHU146" s="68"/>
      <c r="AHV146" s="68"/>
      <c r="AHW146" s="68"/>
      <c r="AHX146" s="68"/>
      <c r="AHY146" s="68"/>
      <c r="AHZ146" s="68"/>
      <c r="AIA146" s="68"/>
      <c r="AIB146" s="68"/>
      <c r="AIC146" s="68"/>
      <c r="AID146" s="68"/>
      <c r="AIE146" s="68"/>
      <c r="AIF146" s="68"/>
      <c r="AIG146" s="68"/>
      <c r="AIH146" s="68"/>
      <c r="AII146" s="68"/>
      <c r="AIJ146" s="68"/>
      <c r="AIK146" s="68"/>
      <c r="AIL146" s="68"/>
      <c r="AIM146" s="68"/>
      <c r="AIN146" s="68"/>
      <c r="AIO146" s="68"/>
      <c r="AIP146" s="68"/>
      <c r="AIQ146" s="68"/>
      <c r="AIR146" s="68"/>
      <c r="AIS146" s="68"/>
      <c r="AIT146" s="68"/>
      <c r="AIU146" s="68"/>
      <c r="AIV146" s="68"/>
      <c r="AIW146" s="68"/>
      <c r="AIX146" s="68"/>
      <c r="AIY146" s="68"/>
      <c r="AIZ146" s="68"/>
      <c r="AJA146" s="68"/>
      <c r="AJB146" s="68"/>
      <c r="AJC146" s="68"/>
    </row>
    <row r="147" spans="1:939" s="85" customFormat="1" ht="15" customHeight="1" thickBot="1" x14ac:dyDescent="0.3">
      <c r="A147" s="484"/>
      <c r="B147" s="485"/>
      <c r="C147" s="491"/>
      <c r="D147" s="483" t="s">
        <v>216</v>
      </c>
      <c r="E147" s="467"/>
      <c r="F147" s="467"/>
      <c r="G147" s="467"/>
      <c r="H147" s="467"/>
      <c r="I147" s="467"/>
      <c r="J147" s="467"/>
      <c r="K147" s="467"/>
      <c r="L147" s="468"/>
      <c r="M147" s="172"/>
      <c r="N147" s="141">
        <f>N51</f>
        <v>24086688</v>
      </c>
      <c r="O147" s="141">
        <f>O51</f>
        <v>0</v>
      </c>
      <c r="P147" s="141">
        <f t="shared" ref="P147:U147" si="26">P51</f>
        <v>18384172.012149811</v>
      </c>
      <c r="Q147" s="141">
        <f t="shared" si="26"/>
        <v>0</v>
      </c>
      <c r="R147" s="141">
        <f t="shared" si="26"/>
        <v>3889303.4021576373</v>
      </c>
      <c r="S147" s="141">
        <f t="shared" si="26"/>
        <v>2687639.4595199237</v>
      </c>
      <c r="T147" s="141">
        <f t="shared" si="26"/>
        <v>14494868.609992173</v>
      </c>
      <c r="U147" s="141">
        <f t="shared" si="26"/>
        <v>0</v>
      </c>
      <c r="V147" s="173"/>
      <c r="W147" s="174"/>
      <c r="X147" s="47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  <c r="BQ147" s="68"/>
      <c r="BR147" s="68"/>
      <c r="BS147" s="68"/>
      <c r="BT147" s="68"/>
      <c r="BU147" s="68"/>
      <c r="BV147" s="68"/>
      <c r="BW147" s="68"/>
      <c r="BX147" s="68"/>
      <c r="BY147" s="68"/>
      <c r="BZ147" s="68"/>
      <c r="CA147" s="68"/>
      <c r="CB147" s="68"/>
      <c r="CC147" s="68"/>
      <c r="CD147" s="68"/>
      <c r="CE147" s="68"/>
      <c r="CF147" s="68"/>
      <c r="CG147" s="68"/>
      <c r="CH147" s="68"/>
      <c r="CI147" s="68"/>
      <c r="CJ147" s="68"/>
      <c r="CK147" s="68"/>
      <c r="CL147" s="68"/>
      <c r="CM147" s="68"/>
      <c r="CN147" s="68"/>
      <c r="CO147" s="68"/>
      <c r="CP147" s="68"/>
      <c r="CQ147" s="68"/>
      <c r="CR147" s="68"/>
      <c r="CS147" s="68"/>
      <c r="CT147" s="68"/>
      <c r="CU147" s="68"/>
      <c r="CV147" s="68"/>
      <c r="CW147" s="68"/>
      <c r="CX147" s="68"/>
      <c r="CY147" s="68"/>
      <c r="CZ147" s="68"/>
      <c r="DA147" s="68"/>
      <c r="DB147" s="68"/>
      <c r="DC147" s="68"/>
      <c r="DD147" s="68"/>
      <c r="DE147" s="68"/>
      <c r="DF147" s="68"/>
      <c r="DG147" s="68"/>
      <c r="DH147" s="68"/>
      <c r="DI147" s="68"/>
      <c r="DJ147" s="68"/>
      <c r="DK147" s="68"/>
      <c r="DL147" s="68"/>
      <c r="DM147" s="68"/>
      <c r="DN147" s="68"/>
      <c r="DO147" s="68"/>
      <c r="DP147" s="68"/>
      <c r="DQ147" s="68"/>
      <c r="DR147" s="68"/>
      <c r="DS147" s="68"/>
      <c r="DT147" s="68"/>
      <c r="DU147" s="68"/>
      <c r="DV147" s="68"/>
      <c r="DW147" s="68"/>
      <c r="DX147" s="68"/>
      <c r="DY147" s="68"/>
      <c r="DZ147" s="68"/>
      <c r="EA147" s="68"/>
      <c r="EB147" s="68"/>
      <c r="EC147" s="68"/>
      <c r="ED147" s="68"/>
      <c r="EE147" s="68"/>
      <c r="EF147" s="68"/>
      <c r="EG147" s="68"/>
      <c r="EH147" s="68"/>
      <c r="EI147" s="68"/>
      <c r="EJ147" s="68"/>
      <c r="EK147" s="68"/>
      <c r="EL147" s="68"/>
      <c r="EM147" s="68"/>
      <c r="EN147" s="68"/>
      <c r="EO147" s="68"/>
      <c r="EP147" s="68"/>
      <c r="EQ147" s="68"/>
      <c r="ER147" s="68"/>
      <c r="ES147" s="68"/>
      <c r="ET147" s="68"/>
      <c r="EU147" s="68"/>
      <c r="EV147" s="68"/>
      <c r="EW147" s="68"/>
      <c r="EX147" s="68"/>
      <c r="EY147" s="68"/>
      <c r="EZ147" s="68"/>
      <c r="FA147" s="68"/>
      <c r="FB147" s="68"/>
      <c r="FC147" s="68"/>
      <c r="FD147" s="68"/>
      <c r="FE147" s="68"/>
      <c r="FF147" s="68"/>
      <c r="FG147" s="68"/>
      <c r="FH147" s="68"/>
      <c r="FI147" s="68"/>
      <c r="FJ147" s="68"/>
      <c r="FK147" s="68"/>
      <c r="FL147" s="68"/>
      <c r="FM147" s="68"/>
      <c r="FN147" s="68"/>
      <c r="FO147" s="68"/>
      <c r="FP147" s="68"/>
      <c r="FQ147" s="68"/>
      <c r="FR147" s="68"/>
      <c r="FS147" s="68"/>
      <c r="FT147" s="68"/>
      <c r="FU147" s="68"/>
      <c r="FV147" s="68"/>
      <c r="FW147" s="68"/>
      <c r="FX147" s="68"/>
      <c r="FY147" s="68"/>
      <c r="FZ147" s="68"/>
      <c r="GA147" s="68"/>
      <c r="GB147" s="68"/>
      <c r="GC147" s="68"/>
      <c r="GD147" s="68"/>
      <c r="GE147" s="68"/>
      <c r="GF147" s="68"/>
      <c r="GG147" s="68"/>
      <c r="GH147" s="68"/>
      <c r="GI147" s="68"/>
      <c r="GJ147" s="68"/>
      <c r="GK147" s="68"/>
      <c r="GL147" s="68"/>
      <c r="GM147" s="68"/>
      <c r="GN147" s="68"/>
      <c r="GO147" s="68"/>
      <c r="GP147" s="68"/>
      <c r="GQ147" s="68"/>
      <c r="GR147" s="68"/>
      <c r="GS147" s="68"/>
      <c r="GT147" s="68"/>
      <c r="GU147" s="68"/>
      <c r="GV147" s="68"/>
      <c r="GW147" s="68"/>
      <c r="GX147" s="68"/>
      <c r="GY147" s="68"/>
      <c r="GZ147" s="68"/>
      <c r="HA147" s="68"/>
      <c r="HB147" s="68"/>
      <c r="HC147" s="68"/>
      <c r="HD147" s="68"/>
      <c r="HE147" s="68"/>
      <c r="HF147" s="68"/>
      <c r="HG147" s="68"/>
      <c r="HH147" s="68"/>
      <c r="HI147" s="68"/>
      <c r="HJ147" s="68"/>
      <c r="HK147" s="68"/>
      <c r="HL147" s="68"/>
      <c r="HM147" s="68"/>
      <c r="HN147" s="68"/>
      <c r="HO147" s="68"/>
      <c r="HP147" s="68"/>
      <c r="HQ147" s="68"/>
      <c r="HR147" s="68"/>
      <c r="HS147" s="68"/>
      <c r="HT147" s="68"/>
      <c r="HU147" s="68"/>
      <c r="HV147" s="68"/>
      <c r="HW147" s="68"/>
      <c r="HX147" s="68"/>
      <c r="HY147" s="68"/>
      <c r="HZ147" s="68"/>
      <c r="IA147" s="68"/>
      <c r="IB147" s="68"/>
      <c r="IC147" s="68"/>
      <c r="ID147" s="68"/>
      <c r="IE147" s="68"/>
      <c r="IF147" s="68"/>
      <c r="IG147" s="68"/>
      <c r="IH147" s="68"/>
      <c r="II147" s="68"/>
      <c r="IJ147" s="68"/>
      <c r="IK147" s="68"/>
      <c r="IL147" s="68"/>
      <c r="IM147" s="68"/>
      <c r="IN147" s="68"/>
      <c r="IO147" s="68"/>
      <c r="IP147" s="68"/>
      <c r="IQ147" s="68"/>
      <c r="IR147" s="68"/>
      <c r="IS147" s="68"/>
      <c r="IT147" s="68"/>
      <c r="IU147" s="68"/>
      <c r="IV147" s="68"/>
      <c r="IW147" s="68"/>
      <c r="IX147" s="68"/>
      <c r="IY147" s="68"/>
      <c r="IZ147" s="68"/>
      <c r="JA147" s="68"/>
      <c r="JB147" s="68"/>
      <c r="JC147" s="68"/>
      <c r="JD147" s="68"/>
      <c r="JE147" s="68"/>
      <c r="JF147" s="68"/>
      <c r="JG147" s="68"/>
      <c r="JH147" s="68"/>
      <c r="JI147" s="68"/>
      <c r="JJ147" s="68"/>
      <c r="JK147" s="68"/>
      <c r="JL147" s="68"/>
      <c r="JM147" s="68"/>
      <c r="JN147" s="68"/>
      <c r="JO147" s="68"/>
      <c r="JP147" s="68"/>
      <c r="JQ147" s="68"/>
      <c r="JR147" s="68"/>
      <c r="JS147" s="68"/>
      <c r="JT147" s="68"/>
      <c r="JU147" s="68"/>
      <c r="JV147" s="68"/>
      <c r="JW147" s="68"/>
      <c r="JX147" s="68"/>
      <c r="JY147" s="68"/>
      <c r="JZ147" s="68"/>
      <c r="KA147" s="68"/>
      <c r="KB147" s="68"/>
      <c r="KC147" s="68"/>
      <c r="KD147" s="68"/>
      <c r="KE147" s="68"/>
      <c r="KF147" s="68"/>
      <c r="KG147" s="68"/>
      <c r="KH147" s="68"/>
      <c r="KI147" s="68"/>
      <c r="KJ147" s="68"/>
      <c r="KK147" s="68"/>
      <c r="KL147" s="68"/>
      <c r="KM147" s="68"/>
      <c r="KN147" s="68"/>
      <c r="KO147" s="68"/>
      <c r="KP147" s="68"/>
      <c r="KQ147" s="68"/>
      <c r="KR147" s="68"/>
      <c r="KS147" s="68"/>
      <c r="KT147" s="68"/>
      <c r="KU147" s="68"/>
      <c r="KV147" s="68"/>
      <c r="KW147" s="68"/>
      <c r="KX147" s="68"/>
      <c r="KY147" s="68"/>
      <c r="KZ147" s="68"/>
      <c r="LA147" s="68"/>
      <c r="LB147" s="68"/>
      <c r="LC147" s="68"/>
      <c r="LD147" s="68"/>
      <c r="LE147" s="68"/>
      <c r="LF147" s="68"/>
      <c r="LG147" s="68"/>
      <c r="LH147" s="68"/>
      <c r="LI147" s="68"/>
      <c r="LJ147" s="68"/>
      <c r="LK147" s="68"/>
      <c r="LL147" s="68"/>
      <c r="LM147" s="68"/>
      <c r="LN147" s="68"/>
      <c r="LO147" s="68"/>
      <c r="LP147" s="68"/>
      <c r="LQ147" s="68"/>
      <c r="LR147" s="68"/>
      <c r="LS147" s="68"/>
      <c r="LT147" s="68"/>
      <c r="LU147" s="68"/>
      <c r="LV147" s="68"/>
      <c r="LW147" s="68"/>
      <c r="LX147" s="68"/>
      <c r="LY147" s="68"/>
      <c r="LZ147" s="68"/>
      <c r="MA147" s="68"/>
      <c r="MB147" s="68"/>
      <c r="MC147" s="68"/>
      <c r="MD147" s="68"/>
      <c r="ME147" s="68"/>
      <c r="MF147" s="68"/>
      <c r="MG147" s="68"/>
      <c r="MH147" s="68"/>
      <c r="MI147" s="68"/>
      <c r="MJ147" s="68"/>
      <c r="MK147" s="68"/>
      <c r="ML147" s="68"/>
      <c r="MM147" s="68"/>
      <c r="MN147" s="68"/>
      <c r="MO147" s="68"/>
      <c r="MP147" s="68"/>
      <c r="MQ147" s="68"/>
      <c r="MR147" s="68"/>
      <c r="MS147" s="68"/>
      <c r="MT147" s="68"/>
      <c r="MU147" s="68"/>
      <c r="MV147" s="68"/>
      <c r="MW147" s="68"/>
      <c r="MX147" s="68"/>
      <c r="MY147" s="68"/>
      <c r="MZ147" s="68"/>
      <c r="NA147" s="68"/>
      <c r="NB147" s="68"/>
      <c r="NC147" s="68"/>
      <c r="ND147" s="68"/>
      <c r="NE147" s="68"/>
      <c r="NF147" s="68"/>
      <c r="NG147" s="68"/>
      <c r="NH147" s="68"/>
      <c r="NI147" s="68"/>
      <c r="NJ147" s="68"/>
      <c r="NK147" s="68"/>
      <c r="NL147" s="68"/>
      <c r="NM147" s="68"/>
      <c r="NN147" s="68"/>
      <c r="NO147" s="68"/>
      <c r="NP147" s="68"/>
      <c r="NQ147" s="68"/>
      <c r="NR147" s="68"/>
      <c r="NS147" s="68"/>
      <c r="NT147" s="68"/>
      <c r="NU147" s="68"/>
      <c r="NV147" s="68"/>
      <c r="NW147" s="68"/>
      <c r="NX147" s="68"/>
      <c r="NY147" s="68"/>
      <c r="NZ147" s="68"/>
      <c r="OA147" s="68"/>
      <c r="OB147" s="68"/>
      <c r="OC147" s="68"/>
      <c r="OD147" s="68"/>
      <c r="OE147" s="68"/>
      <c r="OF147" s="68"/>
      <c r="OG147" s="68"/>
      <c r="OH147" s="68"/>
      <c r="OI147" s="68"/>
      <c r="OJ147" s="68"/>
      <c r="OK147" s="68"/>
      <c r="OL147" s="68"/>
      <c r="OM147" s="68"/>
      <c r="ON147" s="68"/>
      <c r="OO147" s="68"/>
      <c r="OP147" s="68"/>
      <c r="OQ147" s="68"/>
      <c r="OR147" s="68"/>
      <c r="OS147" s="68"/>
      <c r="OT147" s="68"/>
      <c r="OU147" s="68"/>
      <c r="OV147" s="68"/>
      <c r="OW147" s="68"/>
      <c r="OX147" s="68"/>
      <c r="OY147" s="68"/>
      <c r="OZ147" s="68"/>
      <c r="PA147" s="68"/>
      <c r="PB147" s="68"/>
      <c r="PC147" s="68"/>
      <c r="PD147" s="68"/>
      <c r="PE147" s="68"/>
      <c r="PF147" s="68"/>
      <c r="PG147" s="68"/>
      <c r="PH147" s="68"/>
      <c r="PI147" s="68"/>
      <c r="PJ147" s="68"/>
      <c r="PK147" s="68"/>
      <c r="PL147" s="68"/>
      <c r="PM147" s="68"/>
      <c r="PN147" s="68"/>
      <c r="PO147" s="68"/>
      <c r="PP147" s="68"/>
      <c r="PQ147" s="68"/>
      <c r="PR147" s="68"/>
      <c r="PS147" s="68"/>
      <c r="PT147" s="68"/>
      <c r="PU147" s="68"/>
      <c r="PV147" s="68"/>
      <c r="PW147" s="68"/>
      <c r="PX147" s="68"/>
      <c r="PY147" s="68"/>
      <c r="PZ147" s="68"/>
      <c r="QA147" s="68"/>
      <c r="QB147" s="68"/>
      <c r="QC147" s="68"/>
      <c r="QD147" s="68"/>
      <c r="QE147" s="68"/>
      <c r="QF147" s="68"/>
      <c r="QG147" s="68"/>
      <c r="QH147" s="68"/>
      <c r="QI147" s="68"/>
      <c r="QJ147" s="68"/>
      <c r="QK147" s="68"/>
      <c r="QL147" s="68"/>
      <c r="QM147" s="68"/>
      <c r="QN147" s="68"/>
      <c r="QO147" s="68"/>
      <c r="QP147" s="68"/>
      <c r="QQ147" s="68"/>
      <c r="QR147" s="68"/>
      <c r="QS147" s="68"/>
      <c r="QT147" s="68"/>
      <c r="QU147" s="68"/>
      <c r="QV147" s="68"/>
      <c r="QW147" s="68"/>
      <c r="QX147" s="68"/>
      <c r="QY147" s="68"/>
      <c r="QZ147" s="68"/>
      <c r="RA147" s="68"/>
      <c r="RB147" s="68"/>
      <c r="RC147" s="68"/>
      <c r="RD147" s="68"/>
      <c r="RE147" s="68"/>
      <c r="RF147" s="68"/>
      <c r="RG147" s="68"/>
      <c r="RH147" s="68"/>
      <c r="RI147" s="68"/>
      <c r="RJ147" s="68"/>
      <c r="RK147" s="68"/>
      <c r="RL147" s="68"/>
      <c r="RM147" s="68"/>
      <c r="RN147" s="68"/>
      <c r="RO147" s="68"/>
      <c r="RP147" s="68"/>
      <c r="RQ147" s="68"/>
      <c r="RR147" s="68"/>
      <c r="RS147" s="68"/>
      <c r="RT147" s="68"/>
      <c r="RU147" s="68"/>
      <c r="RV147" s="68"/>
      <c r="RW147" s="68"/>
      <c r="RX147" s="68"/>
      <c r="RY147" s="68"/>
      <c r="RZ147" s="68"/>
      <c r="SA147" s="68"/>
      <c r="SB147" s="68"/>
      <c r="SC147" s="68"/>
      <c r="SD147" s="68"/>
      <c r="SE147" s="68"/>
      <c r="SF147" s="68"/>
      <c r="SG147" s="68"/>
      <c r="SH147" s="68"/>
      <c r="SI147" s="68"/>
      <c r="SJ147" s="68"/>
      <c r="SK147" s="68"/>
      <c r="SL147" s="68"/>
      <c r="SM147" s="68"/>
      <c r="SN147" s="68"/>
      <c r="SO147" s="68"/>
      <c r="SP147" s="68"/>
      <c r="SQ147" s="68"/>
      <c r="SR147" s="68"/>
      <c r="SS147" s="68"/>
      <c r="ST147" s="68"/>
      <c r="SU147" s="68"/>
      <c r="SV147" s="68"/>
      <c r="SW147" s="68"/>
      <c r="SX147" s="68"/>
      <c r="SY147" s="68"/>
      <c r="SZ147" s="68"/>
      <c r="TA147" s="68"/>
      <c r="TB147" s="68"/>
      <c r="TC147" s="68"/>
      <c r="TD147" s="68"/>
      <c r="TE147" s="68"/>
      <c r="TF147" s="68"/>
      <c r="TG147" s="68"/>
      <c r="TH147" s="68"/>
      <c r="TI147" s="68"/>
      <c r="TJ147" s="68"/>
      <c r="TK147" s="68"/>
      <c r="TL147" s="68"/>
      <c r="TM147" s="68"/>
      <c r="TN147" s="68"/>
      <c r="TO147" s="68"/>
      <c r="TP147" s="68"/>
      <c r="TQ147" s="68"/>
      <c r="TR147" s="68"/>
      <c r="TS147" s="68"/>
      <c r="TT147" s="68"/>
      <c r="TU147" s="68"/>
      <c r="TV147" s="68"/>
      <c r="TW147" s="68"/>
      <c r="TX147" s="68"/>
      <c r="TY147" s="68"/>
      <c r="TZ147" s="68"/>
      <c r="UA147" s="68"/>
      <c r="UB147" s="68"/>
      <c r="UC147" s="68"/>
      <c r="UD147" s="68"/>
      <c r="UE147" s="68"/>
      <c r="UF147" s="68"/>
      <c r="UG147" s="68"/>
      <c r="UH147" s="68"/>
      <c r="UI147" s="68"/>
      <c r="UJ147" s="68"/>
      <c r="UK147" s="68"/>
      <c r="UL147" s="68"/>
      <c r="UM147" s="68"/>
      <c r="UN147" s="68"/>
      <c r="UO147" s="68"/>
      <c r="UP147" s="68"/>
      <c r="UQ147" s="68"/>
      <c r="UR147" s="68"/>
      <c r="US147" s="68"/>
      <c r="UT147" s="68"/>
      <c r="UU147" s="68"/>
      <c r="UV147" s="68"/>
      <c r="UW147" s="68"/>
      <c r="UX147" s="68"/>
      <c r="UY147" s="68"/>
      <c r="UZ147" s="68"/>
      <c r="VA147" s="68"/>
      <c r="VB147" s="68"/>
      <c r="VC147" s="68"/>
      <c r="VD147" s="68"/>
      <c r="VE147" s="68"/>
      <c r="VF147" s="68"/>
      <c r="VG147" s="68"/>
      <c r="VH147" s="68"/>
      <c r="VI147" s="68"/>
      <c r="VJ147" s="68"/>
      <c r="VK147" s="68"/>
      <c r="VL147" s="68"/>
      <c r="VM147" s="68"/>
      <c r="VN147" s="68"/>
      <c r="VO147" s="68"/>
      <c r="VP147" s="68"/>
      <c r="VQ147" s="68"/>
      <c r="VR147" s="68"/>
      <c r="VS147" s="68"/>
      <c r="VT147" s="68"/>
      <c r="VU147" s="68"/>
      <c r="VV147" s="68"/>
      <c r="VW147" s="68"/>
      <c r="VX147" s="68"/>
      <c r="VY147" s="68"/>
      <c r="VZ147" s="68"/>
      <c r="WA147" s="68"/>
      <c r="WB147" s="68"/>
      <c r="WC147" s="68"/>
      <c r="WD147" s="68"/>
      <c r="WE147" s="68"/>
      <c r="WF147" s="68"/>
      <c r="WG147" s="68"/>
      <c r="WH147" s="68"/>
      <c r="WI147" s="68"/>
      <c r="WJ147" s="68"/>
      <c r="WK147" s="68"/>
      <c r="WL147" s="68"/>
      <c r="WM147" s="68"/>
      <c r="WN147" s="68"/>
      <c r="WO147" s="68"/>
      <c r="WP147" s="68"/>
      <c r="WQ147" s="68"/>
      <c r="WR147" s="68"/>
      <c r="WS147" s="68"/>
      <c r="WT147" s="68"/>
      <c r="WU147" s="68"/>
      <c r="WV147" s="68"/>
      <c r="WW147" s="68"/>
      <c r="WX147" s="68"/>
      <c r="WY147" s="68"/>
      <c r="WZ147" s="68"/>
      <c r="XA147" s="68"/>
      <c r="XB147" s="68"/>
      <c r="XC147" s="68"/>
      <c r="XD147" s="68"/>
      <c r="XE147" s="68"/>
      <c r="XF147" s="68"/>
      <c r="XG147" s="68"/>
      <c r="XH147" s="68"/>
      <c r="XI147" s="68"/>
      <c r="XJ147" s="68"/>
      <c r="XK147" s="68"/>
      <c r="XL147" s="68"/>
      <c r="XM147" s="68"/>
      <c r="XN147" s="68"/>
      <c r="XO147" s="68"/>
      <c r="XP147" s="68"/>
      <c r="XQ147" s="68"/>
      <c r="XR147" s="68"/>
      <c r="XS147" s="68"/>
      <c r="XT147" s="68"/>
      <c r="XU147" s="68"/>
      <c r="XV147" s="68"/>
      <c r="XW147" s="68"/>
      <c r="XX147" s="68"/>
      <c r="XY147" s="68"/>
      <c r="XZ147" s="68"/>
      <c r="YA147" s="68"/>
      <c r="YB147" s="68"/>
      <c r="YC147" s="68"/>
      <c r="YD147" s="68"/>
      <c r="YE147" s="68"/>
      <c r="YF147" s="68"/>
      <c r="YG147" s="68"/>
      <c r="YH147" s="68"/>
      <c r="YI147" s="68"/>
      <c r="YJ147" s="68"/>
      <c r="YK147" s="68"/>
      <c r="YL147" s="68"/>
      <c r="YM147" s="68"/>
      <c r="YN147" s="68"/>
      <c r="YO147" s="68"/>
      <c r="YP147" s="68"/>
      <c r="YQ147" s="68"/>
      <c r="YR147" s="68"/>
      <c r="YS147" s="68"/>
      <c r="YT147" s="68"/>
      <c r="YU147" s="68"/>
      <c r="YV147" s="68"/>
      <c r="YW147" s="68"/>
      <c r="YX147" s="68"/>
      <c r="YY147" s="68"/>
      <c r="YZ147" s="68"/>
      <c r="ZA147" s="68"/>
      <c r="ZB147" s="68"/>
      <c r="ZC147" s="68"/>
      <c r="ZD147" s="68"/>
      <c r="ZE147" s="68"/>
      <c r="ZF147" s="68"/>
      <c r="ZG147" s="68"/>
      <c r="ZH147" s="68"/>
      <c r="ZI147" s="68"/>
      <c r="ZJ147" s="68"/>
      <c r="ZK147" s="68"/>
      <c r="ZL147" s="68"/>
      <c r="ZM147" s="68"/>
      <c r="ZN147" s="68"/>
      <c r="ZO147" s="68"/>
      <c r="ZP147" s="68"/>
      <c r="ZQ147" s="68"/>
      <c r="ZR147" s="68"/>
      <c r="ZS147" s="68"/>
      <c r="ZT147" s="68"/>
      <c r="ZU147" s="68"/>
      <c r="ZV147" s="68"/>
      <c r="ZW147" s="68"/>
      <c r="ZX147" s="68"/>
      <c r="ZY147" s="68"/>
      <c r="ZZ147" s="68"/>
      <c r="AAA147" s="68"/>
      <c r="AAB147" s="68"/>
      <c r="AAC147" s="68"/>
      <c r="AAD147" s="68"/>
      <c r="AAE147" s="68"/>
      <c r="AAF147" s="68"/>
      <c r="AAG147" s="68"/>
      <c r="AAH147" s="68"/>
      <c r="AAI147" s="68"/>
      <c r="AAJ147" s="68"/>
      <c r="AAK147" s="68"/>
      <c r="AAL147" s="68"/>
      <c r="AAM147" s="68"/>
      <c r="AAN147" s="68"/>
      <c r="AAO147" s="68"/>
      <c r="AAP147" s="68"/>
      <c r="AAQ147" s="68"/>
      <c r="AAR147" s="68"/>
      <c r="AAS147" s="68"/>
      <c r="AAT147" s="68"/>
      <c r="AAU147" s="68"/>
      <c r="AAV147" s="68"/>
      <c r="AAW147" s="68"/>
      <c r="AAX147" s="68"/>
      <c r="AAY147" s="68"/>
      <c r="AAZ147" s="68"/>
      <c r="ABA147" s="68"/>
      <c r="ABB147" s="68"/>
      <c r="ABC147" s="68"/>
      <c r="ABD147" s="68"/>
      <c r="ABE147" s="68"/>
      <c r="ABF147" s="68"/>
      <c r="ABG147" s="68"/>
      <c r="ABH147" s="68"/>
      <c r="ABI147" s="68"/>
      <c r="ABJ147" s="68"/>
      <c r="ABK147" s="68"/>
      <c r="ABL147" s="68"/>
      <c r="ABM147" s="68"/>
      <c r="ABN147" s="68"/>
      <c r="ABO147" s="68"/>
      <c r="ABP147" s="68"/>
      <c r="ABQ147" s="68"/>
      <c r="ABR147" s="68"/>
      <c r="ABS147" s="68"/>
      <c r="ABT147" s="68"/>
      <c r="ABU147" s="68"/>
      <c r="ABV147" s="68"/>
      <c r="ABW147" s="68"/>
      <c r="ABX147" s="68"/>
      <c r="ABY147" s="68"/>
      <c r="ABZ147" s="68"/>
      <c r="ACA147" s="68"/>
      <c r="ACB147" s="68"/>
      <c r="ACC147" s="68"/>
      <c r="ACD147" s="68"/>
      <c r="ACE147" s="68"/>
      <c r="ACF147" s="68"/>
      <c r="ACG147" s="68"/>
      <c r="ACH147" s="68"/>
      <c r="ACI147" s="68"/>
      <c r="ACJ147" s="68"/>
      <c r="ACK147" s="68"/>
      <c r="ACL147" s="68"/>
      <c r="ACM147" s="68"/>
      <c r="ACN147" s="68"/>
      <c r="ACO147" s="68"/>
      <c r="ACP147" s="68"/>
      <c r="ACQ147" s="68"/>
      <c r="ACR147" s="68"/>
      <c r="ACS147" s="68"/>
      <c r="ACT147" s="68"/>
      <c r="ACU147" s="68"/>
      <c r="ACV147" s="68"/>
      <c r="ACW147" s="68"/>
      <c r="ACX147" s="68"/>
      <c r="ACY147" s="68"/>
      <c r="ACZ147" s="68"/>
      <c r="ADA147" s="68"/>
      <c r="ADB147" s="68"/>
      <c r="ADC147" s="68"/>
      <c r="ADD147" s="68"/>
      <c r="ADE147" s="68"/>
      <c r="ADF147" s="68"/>
      <c r="ADG147" s="68"/>
      <c r="ADH147" s="68"/>
      <c r="ADI147" s="68"/>
      <c r="ADJ147" s="68"/>
      <c r="ADK147" s="68"/>
      <c r="ADL147" s="68"/>
      <c r="ADM147" s="68"/>
      <c r="ADN147" s="68"/>
      <c r="ADO147" s="68"/>
      <c r="ADP147" s="68"/>
      <c r="ADQ147" s="68"/>
      <c r="ADR147" s="68"/>
      <c r="ADS147" s="68"/>
      <c r="ADT147" s="68"/>
      <c r="ADU147" s="68"/>
      <c r="ADV147" s="68"/>
      <c r="ADW147" s="68"/>
      <c r="ADX147" s="68"/>
      <c r="ADY147" s="68"/>
      <c r="ADZ147" s="68"/>
      <c r="AEA147" s="68"/>
      <c r="AEB147" s="68"/>
      <c r="AEC147" s="68"/>
      <c r="AED147" s="68"/>
      <c r="AEE147" s="68"/>
      <c r="AEF147" s="68"/>
      <c r="AEG147" s="68"/>
      <c r="AEH147" s="68"/>
      <c r="AEI147" s="68"/>
      <c r="AEJ147" s="68"/>
      <c r="AEK147" s="68"/>
      <c r="AEL147" s="68"/>
      <c r="AEM147" s="68"/>
      <c r="AEN147" s="68"/>
      <c r="AEO147" s="68"/>
      <c r="AEP147" s="68"/>
      <c r="AEQ147" s="68"/>
      <c r="AER147" s="68"/>
      <c r="AES147" s="68"/>
      <c r="AET147" s="68"/>
      <c r="AEU147" s="68"/>
      <c r="AEV147" s="68"/>
      <c r="AEW147" s="68"/>
      <c r="AEX147" s="68"/>
      <c r="AEY147" s="68"/>
      <c r="AEZ147" s="68"/>
      <c r="AFA147" s="68"/>
      <c r="AFB147" s="68"/>
      <c r="AFC147" s="68"/>
      <c r="AFD147" s="68"/>
      <c r="AFE147" s="68"/>
      <c r="AFF147" s="68"/>
      <c r="AFG147" s="68"/>
      <c r="AFH147" s="68"/>
      <c r="AFI147" s="68"/>
      <c r="AFJ147" s="68"/>
      <c r="AFK147" s="68"/>
      <c r="AFL147" s="68"/>
      <c r="AFM147" s="68"/>
      <c r="AFN147" s="68"/>
      <c r="AFO147" s="68"/>
      <c r="AFP147" s="68"/>
      <c r="AFQ147" s="68"/>
      <c r="AFR147" s="68"/>
      <c r="AFS147" s="68"/>
      <c r="AFT147" s="68"/>
      <c r="AFU147" s="68"/>
      <c r="AFV147" s="68"/>
      <c r="AFW147" s="68"/>
      <c r="AFX147" s="68"/>
      <c r="AFY147" s="68"/>
      <c r="AFZ147" s="68"/>
      <c r="AGA147" s="68"/>
      <c r="AGB147" s="68"/>
      <c r="AGC147" s="68"/>
      <c r="AGD147" s="68"/>
      <c r="AGE147" s="68"/>
      <c r="AGF147" s="68"/>
      <c r="AGG147" s="68"/>
      <c r="AGH147" s="68"/>
      <c r="AGI147" s="68"/>
      <c r="AGJ147" s="68"/>
      <c r="AGK147" s="68"/>
      <c r="AGL147" s="68"/>
      <c r="AGM147" s="68"/>
      <c r="AGN147" s="68"/>
      <c r="AGO147" s="68"/>
      <c r="AGP147" s="68"/>
      <c r="AGQ147" s="68"/>
      <c r="AGR147" s="68"/>
      <c r="AGS147" s="68"/>
      <c r="AGT147" s="68"/>
      <c r="AGU147" s="68"/>
      <c r="AGV147" s="68"/>
      <c r="AGW147" s="68"/>
      <c r="AGX147" s="68"/>
      <c r="AGY147" s="68"/>
      <c r="AGZ147" s="68"/>
      <c r="AHA147" s="68"/>
      <c r="AHB147" s="68"/>
      <c r="AHC147" s="68"/>
      <c r="AHD147" s="68"/>
      <c r="AHE147" s="68"/>
      <c r="AHF147" s="68"/>
      <c r="AHG147" s="68"/>
      <c r="AHH147" s="68"/>
      <c r="AHI147" s="68"/>
      <c r="AHJ147" s="68"/>
      <c r="AHK147" s="68"/>
      <c r="AHL147" s="68"/>
      <c r="AHM147" s="68"/>
      <c r="AHN147" s="68"/>
      <c r="AHO147" s="68"/>
      <c r="AHP147" s="68"/>
      <c r="AHQ147" s="68"/>
      <c r="AHR147" s="68"/>
      <c r="AHS147" s="68"/>
      <c r="AHT147" s="68"/>
      <c r="AHU147" s="68"/>
      <c r="AHV147" s="68"/>
      <c r="AHW147" s="68"/>
      <c r="AHX147" s="68"/>
      <c r="AHY147" s="68"/>
      <c r="AHZ147" s="68"/>
      <c r="AIA147" s="68"/>
      <c r="AIB147" s="68"/>
      <c r="AIC147" s="68"/>
      <c r="AID147" s="68"/>
      <c r="AIE147" s="68"/>
      <c r="AIF147" s="68"/>
      <c r="AIG147" s="68"/>
      <c r="AIH147" s="68"/>
      <c r="AII147" s="68"/>
      <c r="AIJ147" s="68"/>
      <c r="AIK147" s="68"/>
      <c r="AIL147" s="68"/>
      <c r="AIM147" s="68"/>
      <c r="AIN147" s="68"/>
      <c r="AIO147" s="68"/>
      <c r="AIP147" s="68"/>
      <c r="AIQ147" s="68"/>
      <c r="AIR147" s="68"/>
      <c r="AIS147" s="68"/>
      <c r="AIT147" s="68"/>
      <c r="AIU147" s="68"/>
      <c r="AIV147" s="68"/>
      <c r="AIW147" s="68"/>
      <c r="AIX147" s="68"/>
      <c r="AIY147" s="68"/>
      <c r="AIZ147" s="68"/>
      <c r="AJA147" s="68"/>
      <c r="AJB147" s="68"/>
      <c r="AJC147" s="68"/>
    </row>
    <row r="148" spans="1:939" ht="51" customHeight="1" thickBot="1" x14ac:dyDescent="0.3">
      <c r="A148" s="175">
        <v>96</v>
      </c>
      <c r="B148" s="176" t="s">
        <v>254</v>
      </c>
      <c r="C148" s="177" t="s">
        <v>152</v>
      </c>
      <c r="D148" s="177" t="s">
        <v>103</v>
      </c>
      <c r="E148" s="177"/>
      <c r="F148" s="177"/>
      <c r="G148" s="177"/>
      <c r="H148" s="177"/>
      <c r="I148" s="177"/>
      <c r="J148" s="177"/>
      <c r="K148" s="177" t="s">
        <v>241</v>
      </c>
      <c r="L148" s="177" t="s">
        <v>242</v>
      </c>
      <c r="M148" s="177" t="s">
        <v>51</v>
      </c>
      <c r="N148" s="178">
        <f>834800635300+144000000000+32000000000+132000000000+3500000000+14000000000+2900000000+4000000000</f>
        <v>1167200635300</v>
      </c>
      <c r="O148" s="17">
        <f>IF(M148=$B$150,N148,IF(M148=$B$152,N148*$C$152/$C$150,IF(M148=$B$151,N148*$C$151/$C$150,IF(M148=$B$149,N148/$C$150))))</f>
        <v>2883472010.9192419</v>
      </c>
      <c r="P148" s="17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Q148" s="281">
        <v>1E-4</v>
      </c>
      <c r="R148" s="17"/>
      <c r="S148" s="17"/>
      <c r="T148" s="179">
        <f>P148-R148</f>
        <v>1161789822801.3999</v>
      </c>
      <c r="U148" s="178">
        <f>IF(M148=$B$150,T148,IF(M148=$B$152,T148*$C$152/$C$150,IF(M148=$B$151,T148*$C$151/$C$150,IF(M148=$B$149,T148/$C$150))))</f>
        <v>2870105049.0412307</v>
      </c>
      <c r="V148" s="180" t="s">
        <v>111</v>
      </c>
      <c r="W148" s="181"/>
    </row>
    <row r="149" spans="1:939" ht="17.25" x14ac:dyDescent="0.3">
      <c r="B149" s="18" t="s">
        <v>51</v>
      </c>
      <c r="C149" s="19"/>
      <c r="M149" s="183"/>
      <c r="N149" s="184"/>
      <c r="P149" s="185"/>
      <c r="T149" s="187" t="s">
        <v>337</v>
      </c>
      <c r="U149" s="188" t="s">
        <v>338</v>
      </c>
      <c r="V149" s="189" t="s">
        <v>339</v>
      </c>
    </row>
    <row r="150" spans="1:939" ht="17.25" x14ac:dyDescent="0.3">
      <c r="B150" s="18" t="s">
        <v>26</v>
      </c>
      <c r="C150" s="19">
        <v>404.79</v>
      </c>
      <c r="N150" s="184"/>
      <c r="O150" s="184"/>
      <c r="P150" s="190"/>
      <c r="Q150" s="191"/>
      <c r="S150" s="185" t="s">
        <v>340</v>
      </c>
      <c r="T150" s="192">
        <f>U145*C150</f>
        <v>369545105919.70715</v>
      </c>
      <c r="U150" s="193">
        <f>T150/1000</f>
        <v>369545105.91970718</v>
      </c>
      <c r="V150" s="194">
        <f>U150/$C$150</f>
        <v>912930.42298403406</v>
      </c>
    </row>
    <row r="151" spans="1:939" ht="17.25" x14ac:dyDescent="0.3">
      <c r="B151" s="18" t="s">
        <v>18</v>
      </c>
      <c r="C151" s="20">
        <v>2.8570000000000002</v>
      </c>
      <c r="O151" s="184"/>
      <c r="P151" s="184">
        <f>P148/C150</f>
        <v>2870105049.0412307</v>
      </c>
      <c r="S151" s="185" t="s">
        <v>341</v>
      </c>
      <c r="T151" s="195">
        <f>T10+T12+T14+T16+T18+T20+T22+T24+T26+T44+T40+T41+T42+T44+T54+T57+T77+T78+T80+T81+T82+T83+T84+T85+T93*C150+T94+T95+T96+T97+T104+T105+T106+T107+T108+T109+T114+T115+T116+T117+T118+T119+T120+T121+T122+T123+T124+T125+T126+T127+T128+T129+T130+T131+T132+T133+T134+T135+T136+T138</f>
        <v>132522344616.37708</v>
      </c>
      <c r="U151" s="193">
        <f>T151/1000</f>
        <v>132522344.61637707</v>
      </c>
      <c r="V151" s="196">
        <f>U151/$C$150</f>
        <v>327385.4211229948</v>
      </c>
    </row>
    <row r="152" spans="1:939" ht="17.25" x14ac:dyDescent="0.3">
      <c r="B152" s="18" t="s">
        <v>30</v>
      </c>
      <c r="C152" s="19">
        <v>447.9</v>
      </c>
      <c r="O152" s="188"/>
      <c r="P152" s="190"/>
      <c r="S152" s="185" t="s">
        <v>342</v>
      </c>
      <c r="T152" s="188">
        <f>T150-T151</f>
        <v>237022761303.33008</v>
      </c>
      <c r="U152" s="193">
        <f>U150-U151</f>
        <v>237022761.30333012</v>
      </c>
      <c r="V152" s="196">
        <f>U152/$C$150</f>
        <v>585545.00186103932</v>
      </c>
    </row>
    <row r="153" spans="1:939" ht="17.25" x14ac:dyDescent="0.3">
      <c r="B153" s="18" t="s">
        <v>216</v>
      </c>
      <c r="C153" s="19">
        <v>543.09</v>
      </c>
      <c r="S153" s="197"/>
      <c r="T153" s="184"/>
      <c r="U153" s="198"/>
      <c r="V153" s="25"/>
    </row>
    <row r="154" spans="1:939" x14ac:dyDescent="0.25">
      <c r="B154" s="260"/>
      <c r="C154" s="4"/>
      <c r="V154" s="25"/>
    </row>
    <row r="155" spans="1:939" x14ac:dyDescent="0.25">
      <c r="B155" s="260"/>
      <c r="C155" s="4"/>
      <c r="T155" s="199"/>
    </row>
    <row r="156" spans="1:939" x14ac:dyDescent="0.25">
      <c r="P156" s="200"/>
      <c r="S156" s="185"/>
      <c r="T156" s="195"/>
    </row>
    <row r="162" spans="2:939" x14ac:dyDescent="0.25">
      <c r="T162" s="184"/>
    </row>
    <row r="163" spans="2:939" s="188" customFormat="1" x14ac:dyDescent="0.25">
      <c r="B163" s="29"/>
      <c r="C163" s="21"/>
      <c r="D163" s="21"/>
      <c r="E163" s="21"/>
      <c r="F163" s="21"/>
      <c r="G163" s="21"/>
      <c r="H163" s="21"/>
      <c r="I163" s="21"/>
      <c r="J163" s="21"/>
      <c r="K163" s="182"/>
      <c r="L163" s="21"/>
      <c r="M163" s="21"/>
      <c r="N163" s="21"/>
      <c r="O163" s="21"/>
      <c r="P163" s="27"/>
      <c r="Q163" s="186"/>
      <c r="R163" s="27"/>
      <c r="S163" s="27"/>
      <c r="T163" s="184"/>
      <c r="V163" s="21"/>
      <c r="W163" s="25"/>
      <c r="X163" s="26"/>
      <c r="Y163" s="190"/>
      <c r="Z163" s="190"/>
      <c r="AA163" s="190"/>
      <c r="AB163" s="190"/>
      <c r="AC163" s="190"/>
      <c r="AD163" s="190"/>
      <c r="AE163" s="190"/>
      <c r="AF163" s="190"/>
      <c r="AG163" s="190"/>
      <c r="AH163" s="190"/>
      <c r="AI163" s="190"/>
      <c r="AJ163" s="190"/>
      <c r="AK163" s="190"/>
      <c r="AL163" s="190"/>
      <c r="AM163" s="190"/>
      <c r="AN163" s="190"/>
      <c r="AO163" s="190"/>
      <c r="AP163" s="190"/>
      <c r="AQ163" s="190"/>
      <c r="AR163" s="190"/>
      <c r="AS163" s="190"/>
      <c r="AT163" s="190"/>
      <c r="AU163" s="190"/>
      <c r="AV163" s="190"/>
      <c r="AW163" s="190"/>
      <c r="AX163" s="190"/>
      <c r="AY163" s="190"/>
      <c r="AZ163" s="190"/>
      <c r="BA163" s="190"/>
      <c r="BB163" s="190"/>
      <c r="BC163" s="190"/>
      <c r="BD163" s="190"/>
      <c r="BE163" s="190"/>
      <c r="BF163" s="190"/>
      <c r="BG163" s="190"/>
      <c r="BH163" s="190"/>
      <c r="BI163" s="190"/>
      <c r="BJ163" s="190"/>
      <c r="BK163" s="190"/>
      <c r="BL163" s="190"/>
      <c r="BM163" s="190"/>
      <c r="BN163" s="190"/>
      <c r="BO163" s="190"/>
      <c r="BP163" s="190"/>
      <c r="BQ163" s="190"/>
      <c r="BR163" s="190"/>
      <c r="BS163" s="190"/>
      <c r="BT163" s="190"/>
      <c r="BU163" s="190"/>
      <c r="BV163" s="190"/>
      <c r="BW163" s="190"/>
      <c r="BX163" s="190"/>
      <c r="BY163" s="190"/>
      <c r="BZ163" s="190"/>
      <c r="CA163" s="190"/>
      <c r="CB163" s="190"/>
      <c r="CC163" s="190"/>
      <c r="CD163" s="190"/>
      <c r="CE163" s="190"/>
      <c r="CF163" s="190"/>
      <c r="CG163" s="190"/>
      <c r="CH163" s="190"/>
      <c r="CI163" s="190"/>
      <c r="CJ163" s="190"/>
      <c r="CK163" s="190"/>
      <c r="CL163" s="190"/>
      <c r="CM163" s="190"/>
      <c r="CN163" s="190"/>
      <c r="CO163" s="190"/>
      <c r="CP163" s="190"/>
      <c r="CQ163" s="190"/>
      <c r="CR163" s="190"/>
      <c r="CS163" s="190"/>
      <c r="CT163" s="190"/>
      <c r="CU163" s="190"/>
      <c r="CV163" s="190"/>
      <c r="CW163" s="190"/>
      <c r="CX163" s="190"/>
      <c r="CY163" s="190"/>
      <c r="CZ163" s="190"/>
      <c r="DA163" s="190"/>
      <c r="DB163" s="190"/>
      <c r="DC163" s="190"/>
      <c r="DD163" s="190"/>
      <c r="DE163" s="190"/>
      <c r="DF163" s="190"/>
      <c r="DG163" s="190"/>
      <c r="DH163" s="190"/>
      <c r="DI163" s="190"/>
      <c r="DJ163" s="190"/>
      <c r="DK163" s="190"/>
      <c r="DL163" s="190"/>
      <c r="DM163" s="190"/>
      <c r="DN163" s="190"/>
      <c r="DO163" s="190"/>
      <c r="DP163" s="190"/>
      <c r="DQ163" s="190"/>
      <c r="DR163" s="190"/>
      <c r="DS163" s="190"/>
      <c r="DT163" s="190"/>
      <c r="DU163" s="190"/>
      <c r="DV163" s="190"/>
      <c r="DW163" s="190"/>
      <c r="DX163" s="190"/>
      <c r="DY163" s="190"/>
      <c r="DZ163" s="190"/>
      <c r="EA163" s="190"/>
      <c r="EB163" s="190"/>
      <c r="EC163" s="190"/>
      <c r="ED163" s="190"/>
      <c r="EE163" s="190"/>
      <c r="EF163" s="190"/>
      <c r="EG163" s="190"/>
      <c r="EH163" s="190"/>
      <c r="EI163" s="190"/>
      <c r="EJ163" s="190"/>
      <c r="EK163" s="190"/>
      <c r="EL163" s="190"/>
      <c r="EM163" s="190"/>
      <c r="EN163" s="190"/>
      <c r="EO163" s="190"/>
      <c r="EP163" s="190"/>
      <c r="EQ163" s="190"/>
      <c r="ER163" s="190"/>
      <c r="ES163" s="190"/>
      <c r="ET163" s="190"/>
      <c r="EU163" s="190"/>
      <c r="EV163" s="190"/>
      <c r="EW163" s="190"/>
      <c r="EX163" s="190"/>
      <c r="EY163" s="190"/>
      <c r="EZ163" s="190"/>
      <c r="FA163" s="190"/>
      <c r="FB163" s="190"/>
      <c r="FC163" s="190"/>
      <c r="FD163" s="190"/>
      <c r="FE163" s="190"/>
      <c r="FF163" s="190"/>
      <c r="FG163" s="190"/>
      <c r="FH163" s="190"/>
      <c r="FI163" s="190"/>
      <c r="FJ163" s="190"/>
      <c r="FK163" s="190"/>
      <c r="FL163" s="190"/>
      <c r="FM163" s="190"/>
      <c r="FN163" s="190"/>
      <c r="FO163" s="190"/>
      <c r="FP163" s="190"/>
      <c r="FQ163" s="190"/>
      <c r="FR163" s="190"/>
      <c r="FS163" s="190"/>
      <c r="FT163" s="190"/>
      <c r="FU163" s="190"/>
      <c r="FV163" s="190"/>
      <c r="FW163" s="190"/>
      <c r="FX163" s="190"/>
      <c r="FY163" s="190"/>
      <c r="FZ163" s="190"/>
      <c r="GA163" s="190"/>
      <c r="GB163" s="190"/>
      <c r="GC163" s="190"/>
      <c r="GD163" s="190"/>
      <c r="GE163" s="190"/>
      <c r="GF163" s="190"/>
      <c r="GG163" s="190"/>
      <c r="GH163" s="190"/>
      <c r="GI163" s="190"/>
      <c r="GJ163" s="190"/>
      <c r="GK163" s="190"/>
      <c r="GL163" s="190"/>
      <c r="GM163" s="190"/>
      <c r="GN163" s="190"/>
      <c r="GO163" s="190"/>
      <c r="GP163" s="190"/>
      <c r="GQ163" s="190"/>
      <c r="GR163" s="190"/>
      <c r="GS163" s="190"/>
      <c r="GT163" s="190"/>
      <c r="GU163" s="190"/>
      <c r="GV163" s="190"/>
      <c r="GW163" s="190"/>
      <c r="GX163" s="190"/>
      <c r="GY163" s="190"/>
      <c r="GZ163" s="190"/>
      <c r="HA163" s="190"/>
      <c r="HB163" s="190"/>
      <c r="HC163" s="190"/>
      <c r="HD163" s="190"/>
      <c r="HE163" s="190"/>
      <c r="HF163" s="190"/>
      <c r="HG163" s="190"/>
      <c r="HH163" s="190"/>
      <c r="HI163" s="190"/>
      <c r="HJ163" s="190"/>
      <c r="HK163" s="190"/>
      <c r="HL163" s="190"/>
      <c r="HM163" s="190"/>
      <c r="HN163" s="190"/>
      <c r="HO163" s="190"/>
      <c r="HP163" s="190"/>
      <c r="HQ163" s="190"/>
      <c r="HR163" s="190"/>
      <c r="HS163" s="190"/>
      <c r="HT163" s="190"/>
      <c r="HU163" s="190"/>
      <c r="HV163" s="190"/>
      <c r="HW163" s="190"/>
      <c r="HX163" s="190"/>
      <c r="HY163" s="190"/>
      <c r="HZ163" s="190"/>
      <c r="IA163" s="190"/>
      <c r="IB163" s="190"/>
      <c r="IC163" s="190"/>
      <c r="ID163" s="190"/>
      <c r="IE163" s="190"/>
      <c r="IF163" s="190"/>
      <c r="IG163" s="190"/>
      <c r="IH163" s="190"/>
      <c r="II163" s="190"/>
      <c r="IJ163" s="190"/>
      <c r="IK163" s="190"/>
      <c r="IL163" s="190"/>
      <c r="IM163" s="190"/>
      <c r="IN163" s="190"/>
      <c r="IO163" s="190"/>
      <c r="IP163" s="190"/>
      <c r="IQ163" s="190"/>
      <c r="IR163" s="190"/>
      <c r="IS163" s="190"/>
      <c r="IT163" s="190"/>
      <c r="IU163" s="190"/>
      <c r="IV163" s="190"/>
      <c r="IW163" s="190"/>
      <c r="IX163" s="190"/>
      <c r="IY163" s="190"/>
      <c r="IZ163" s="190"/>
      <c r="JA163" s="190"/>
      <c r="JB163" s="190"/>
      <c r="JC163" s="190"/>
      <c r="JD163" s="190"/>
      <c r="JE163" s="190"/>
      <c r="JF163" s="190"/>
      <c r="JG163" s="190"/>
      <c r="JH163" s="190"/>
      <c r="JI163" s="190"/>
      <c r="JJ163" s="190"/>
      <c r="JK163" s="190"/>
      <c r="JL163" s="190"/>
      <c r="JM163" s="190"/>
      <c r="JN163" s="190"/>
      <c r="JO163" s="190"/>
      <c r="JP163" s="190"/>
      <c r="JQ163" s="190"/>
      <c r="JR163" s="190"/>
      <c r="JS163" s="190"/>
      <c r="JT163" s="190"/>
      <c r="JU163" s="190"/>
      <c r="JV163" s="190"/>
      <c r="JW163" s="190"/>
      <c r="JX163" s="190"/>
      <c r="JY163" s="190"/>
      <c r="JZ163" s="190"/>
      <c r="KA163" s="190"/>
      <c r="KB163" s="190"/>
      <c r="KC163" s="190"/>
      <c r="KD163" s="190"/>
      <c r="KE163" s="190"/>
      <c r="KF163" s="190"/>
      <c r="KG163" s="190"/>
      <c r="KH163" s="190"/>
      <c r="KI163" s="190"/>
      <c r="KJ163" s="190"/>
      <c r="KK163" s="190"/>
      <c r="KL163" s="190"/>
      <c r="KM163" s="190"/>
      <c r="KN163" s="190"/>
      <c r="KO163" s="190"/>
      <c r="KP163" s="190"/>
      <c r="KQ163" s="190"/>
      <c r="KR163" s="190"/>
      <c r="KS163" s="190"/>
      <c r="KT163" s="190"/>
      <c r="KU163" s="190"/>
      <c r="KV163" s="190"/>
      <c r="KW163" s="190"/>
      <c r="KX163" s="190"/>
      <c r="KY163" s="190"/>
      <c r="KZ163" s="190"/>
      <c r="LA163" s="190"/>
      <c r="LB163" s="190"/>
      <c r="LC163" s="190"/>
      <c r="LD163" s="190"/>
      <c r="LE163" s="190"/>
      <c r="LF163" s="190"/>
      <c r="LG163" s="190"/>
      <c r="LH163" s="190"/>
      <c r="LI163" s="190"/>
      <c r="LJ163" s="190"/>
      <c r="LK163" s="190"/>
      <c r="LL163" s="190"/>
      <c r="LM163" s="190"/>
      <c r="LN163" s="190"/>
      <c r="LO163" s="190"/>
      <c r="LP163" s="190"/>
      <c r="LQ163" s="190"/>
      <c r="LR163" s="190"/>
      <c r="LS163" s="190"/>
      <c r="LT163" s="190"/>
      <c r="LU163" s="190"/>
      <c r="LV163" s="190"/>
      <c r="LW163" s="190"/>
      <c r="LX163" s="190"/>
      <c r="LY163" s="190"/>
      <c r="LZ163" s="190"/>
      <c r="MA163" s="190"/>
      <c r="MB163" s="190"/>
      <c r="MC163" s="190"/>
      <c r="MD163" s="190"/>
      <c r="ME163" s="190"/>
      <c r="MF163" s="190"/>
      <c r="MG163" s="190"/>
      <c r="MH163" s="190"/>
      <c r="MI163" s="190"/>
      <c r="MJ163" s="190"/>
      <c r="MK163" s="190"/>
      <c r="ML163" s="190"/>
      <c r="MM163" s="190"/>
      <c r="MN163" s="190"/>
      <c r="MO163" s="190"/>
      <c r="MP163" s="190"/>
      <c r="MQ163" s="190"/>
      <c r="MR163" s="190"/>
      <c r="MS163" s="190"/>
      <c r="MT163" s="190"/>
      <c r="MU163" s="190"/>
      <c r="MV163" s="190"/>
      <c r="MW163" s="190"/>
      <c r="MX163" s="190"/>
      <c r="MY163" s="190"/>
      <c r="MZ163" s="190"/>
      <c r="NA163" s="190"/>
      <c r="NB163" s="190"/>
      <c r="NC163" s="190"/>
      <c r="ND163" s="190"/>
      <c r="NE163" s="190"/>
      <c r="NF163" s="190"/>
      <c r="NG163" s="190"/>
      <c r="NH163" s="190"/>
      <c r="NI163" s="190"/>
      <c r="NJ163" s="190"/>
      <c r="NK163" s="190"/>
      <c r="NL163" s="190"/>
      <c r="NM163" s="190"/>
      <c r="NN163" s="190"/>
      <c r="NO163" s="190"/>
      <c r="NP163" s="190"/>
      <c r="NQ163" s="190"/>
      <c r="NR163" s="190"/>
      <c r="NS163" s="190"/>
      <c r="NT163" s="190"/>
      <c r="NU163" s="190"/>
      <c r="NV163" s="190"/>
      <c r="NW163" s="190"/>
      <c r="NX163" s="190"/>
      <c r="NY163" s="190"/>
      <c r="NZ163" s="190"/>
      <c r="OA163" s="190"/>
      <c r="OB163" s="190"/>
      <c r="OC163" s="190"/>
      <c r="OD163" s="190"/>
      <c r="OE163" s="190"/>
      <c r="OF163" s="190"/>
      <c r="OG163" s="190"/>
      <c r="OH163" s="190"/>
      <c r="OI163" s="190"/>
      <c r="OJ163" s="190"/>
      <c r="OK163" s="190"/>
      <c r="OL163" s="190"/>
      <c r="OM163" s="190"/>
      <c r="ON163" s="190"/>
      <c r="OO163" s="190"/>
      <c r="OP163" s="190"/>
      <c r="OQ163" s="190"/>
      <c r="OR163" s="190"/>
      <c r="OS163" s="190"/>
      <c r="OT163" s="190"/>
      <c r="OU163" s="190"/>
      <c r="OV163" s="190"/>
      <c r="OW163" s="190"/>
      <c r="OX163" s="190"/>
      <c r="OY163" s="190"/>
      <c r="OZ163" s="190"/>
      <c r="PA163" s="190"/>
      <c r="PB163" s="190"/>
      <c r="PC163" s="190"/>
      <c r="PD163" s="190"/>
      <c r="PE163" s="190"/>
      <c r="PF163" s="190"/>
      <c r="PG163" s="190"/>
      <c r="PH163" s="190"/>
      <c r="PI163" s="190"/>
      <c r="PJ163" s="190"/>
      <c r="PK163" s="190"/>
      <c r="PL163" s="190"/>
      <c r="PM163" s="190"/>
      <c r="PN163" s="190"/>
      <c r="PO163" s="190"/>
      <c r="PP163" s="190"/>
      <c r="PQ163" s="190"/>
      <c r="PR163" s="190"/>
      <c r="PS163" s="190"/>
      <c r="PT163" s="190"/>
      <c r="PU163" s="190"/>
      <c r="PV163" s="190"/>
      <c r="PW163" s="190"/>
      <c r="PX163" s="190"/>
      <c r="PY163" s="190"/>
      <c r="PZ163" s="190"/>
      <c r="QA163" s="190"/>
      <c r="QB163" s="190"/>
      <c r="QC163" s="190"/>
      <c r="QD163" s="190"/>
      <c r="QE163" s="190"/>
      <c r="QF163" s="190"/>
      <c r="QG163" s="190"/>
      <c r="QH163" s="190"/>
      <c r="QI163" s="190"/>
      <c r="QJ163" s="190"/>
      <c r="QK163" s="190"/>
      <c r="QL163" s="190"/>
      <c r="QM163" s="190"/>
      <c r="QN163" s="190"/>
      <c r="QO163" s="190"/>
      <c r="QP163" s="190"/>
      <c r="QQ163" s="190"/>
      <c r="QR163" s="190"/>
      <c r="QS163" s="190"/>
      <c r="QT163" s="190"/>
      <c r="QU163" s="190"/>
      <c r="QV163" s="190"/>
      <c r="QW163" s="190"/>
      <c r="QX163" s="190"/>
      <c r="QY163" s="190"/>
      <c r="QZ163" s="190"/>
      <c r="RA163" s="190"/>
      <c r="RB163" s="190"/>
      <c r="RC163" s="190"/>
      <c r="RD163" s="190"/>
      <c r="RE163" s="190"/>
      <c r="RF163" s="190"/>
      <c r="RG163" s="190"/>
      <c r="RH163" s="190"/>
      <c r="RI163" s="190"/>
      <c r="RJ163" s="190"/>
      <c r="RK163" s="190"/>
      <c r="RL163" s="190"/>
      <c r="RM163" s="190"/>
      <c r="RN163" s="190"/>
      <c r="RO163" s="190"/>
      <c r="RP163" s="190"/>
      <c r="RQ163" s="190"/>
      <c r="RR163" s="190"/>
      <c r="RS163" s="190"/>
      <c r="RT163" s="190"/>
      <c r="RU163" s="190"/>
      <c r="RV163" s="190"/>
      <c r="RW163" s="190"/>
      <c r="RX163" s="190"/>
      <c r="RY163" s="190"/>
      <c r="RZ163" s="190"/>
      <c r="SA163" s="190"/>
      <c r="SB163" s="190"/>
      <c r="SC163" s="190"/>
      <c r="SD163" s="190"/>
      <c r="SE163" s="190"/>
      <c r="SF163" s="190"/>
      <c r="SG163" s="190"/>
      <c r="SH163" s="190"/>
      <c r="SI163" s="190"/>
      <c r="SJ163" s="190"/>
      <c r="SK163" s="190"/>
      <c r="SL163" s="190"/>
      <c r="SM163" s="190"/>
      <c r="SN163" s="190"/>
      <c r="SO163" s="190"/>
      <c r="SP163" s="190"/>
      <c r="SQ163" s="190"/>
      <c r="SR163" s="190"/>
      <c r="SS163" s="190"/>
      <c r="ST163" s="190"/>
      <c r="SU163" s="190"/>
      <c r="SV163" s="190"/>
      <c r="SW163" s="190"/>
      <c r="SX163" s="190"/>
      <c r="SY163" s="190"/>
      <c r="SZ163" s="190"/>
      <c r="TA163" s="190"/>
      <c r="TB163" s="190"/>
      <c r="TC163" s="190"/>
      <c r="TD163" s="190"/>
      <c r="TE163" s="190"/>
      <c r="TF163" s="190"/>
      <c r="TG163" s="190"/>
      <c r="TH163" s="190"/>
      <c r="TI163" s="190"/>
      <c r="TJ163" s="190"/>
      <c r="TK163" s="190"/>
      <c r="TL163" s="190"/>
      <c r="TM163" s="190"/>
      <c r="TN163" s="190"/>
      <c r="TO163" s="190"/>
      <c r="TP163" s="190"/>
      <c r="TQ163" s="190"/>
      <c r="TR163" s="190"/>
      <c r="TS163" s="190"/>
      <c r="TT163" s="190"/>
      <c r="TU163" s="190"/>
      <c r="TV163" s="190"/>
      <c r="TW163" s="190"/>
      <c r="TX163" s="190"/>
      <c r="TY163" s="190"/>
      <c r="TZ163" s="190"/>
      <c r="UA163" s="190"/>
      <c r="UB163" s="190"/>
      <c r="UC163" s="190"/>
      <c r="UD163" s="190"/>
      <c r="UE163" s="190"/>
      <c r="UF163" s="190"/>
      <c r="UG163" s="190"/>
      <c r="UH163" s="190"/>
      <c r="UI163" s="190"/>
      <c r="UJ163" s="190"/>
      <c r="UK163" s="190"/>
      <c r="UL163" s="190"/>
      <c r="UM163" s="190"/>
      <c r="UN163" s="190"/>
      <c r="UO163" s="190"/>
      <c r="UP163" s="190"/>
      <c r="UQ163" s="190"/>
      <c r="UR163" s="190"/>
      <c r="US163" s="190"/>
      <c r="UT163" s="190"/>
      <c r="UU163" s="190"/>
      <c r="UV163" s="190"/>
      <c r="UW163" s="190"/>
      <c r="UX163" s="190"/>
      <c r="UY163" s="190"/>
      <c r="UZ163" s="190"/>
      <c r="VA163" s="190"/>
      <c r="VB163" s="190"/>
      <c r="VC163" s="190"/>
      <c r="VD163" s="190"/>
      <c r="VE163" s="190"/>
      <c r="VF163" s="190"/>
      <c r="VG163" s="190"/>
      <c r="VH163" s="190"/>
      <c r="VI163" s="190"/>
      <c r="VJ163" s="190"/>
      <c r="VK163" s="190"/>
      <c r="VL163" s="190"/>
      <c r="VM163" s="190"/>
      <c r="VN163" s="190"/>
      <c r="VO163" s="190"/>
      <c r="VP163" s="190"/>
      <c r="VQ163" s="190"/>
      <c r="VR163" s="190"/>
      <c r="VS163" s="190"/>
      <c r="VT163" s="190"/>
      <c r="VU163" s="190"/>
      <c r="VV163" s="190"/>
      <c r="VW163" s="190"/>
      <c r="VX163" s="190"/>
      <c r="VY163" s="190"/>
      <c r="VZ163" s="190"/>
      <c r="WA163" s="190"/>
      <c r="WB163" s="190"/>
      <c r="WC163" s="190"/>
      <c r="WD163" s="190"/>
      <c r="WE163" s="190"/>
      <c r="WF163" s="190"/>
      <c r="WG163" s="190"/>
      <c r="WH163" s="190"/>
      <c r="WI163" s="190"/>
      <c r="WJ163" s="190"/>
      <c r="WK163" s="190"/>
      <c r="WL163" s="190"/>
      <c r="WM163" s="190"/>
      <c r="WN163" s="190"/>
      <c r="WO163" s="190"/>
      <c r="WP163" s="190"/>
      <c r="WQ163" s="190"/>
      <c r="WR163" s="190"/>
      <c r="WS163" s="190"/>
      <c r="WT163" s="190"/>
      <c r="WU163" s="190"/>
      <c r="WV163" s="190"/>
      <c r="WW163" s="190"/>
      <c r="WX163" s="190"/>
      <c r="WY163" s="190"/>
      <c r="WZ163" s="190"/>
      <c r="XA163" s="190"/>
      <c r="XB163" s="190"/>
      <c r="XC163" s="190"/>
      <c r="XD163" s="190"/>
      <c r="XE163" s="190"/>
      <c r="XF163" s="190"/>
      <c r="XG163" s="190"/>
      <c r="XH163" s="190"/>
      <c r="XI163" s="190"/>
      <c r="XJ163" s="190"/>
      <c r="XK163" s="190"/>
      <c r="XL163" s="190"/>
      <c r="XM163" s="190"/>
      <c r="XN163" s="190"/>
      <c r="XO163" s="190"/>
      <c r="XP163" s="190"/>
      <c r="XQ163" s="190"/>
      <c r="XR163" s="190"/>
      <c r="XS163" s="190"/>
      <c r="XT163" s="190"/>
      <c r="XU163" s="190"/>
      <c r="XV163" s="190"/>
      <c r="XW163" s="190"/>
      <c r="XX163" s="190"/>
      <c r="XY163" s="190"/>
      <c r="XZ163" s="190"/>
      <c r="YA163" s="190"/>
      <c r="YB163" s="190"/>
      <c r="YC163" s="190"/>
      <c r="YD163" s="190"/>
      <c r="YE163" s="190"/>
      <c r="YF163" s="190"/>
      <c r="YG163" s="190"/>
      <c r="YH163" s="190"/>
      <c r="YI163" s="190"/>
      <c r="YJ163" s="190"/>
      <c r="YK163" s="190"/>
      <c r="YL163" s="190"/>
      <c r="YM163" s="190"/>
      <c r="YN163" s="190"/>
      <c r="YO163" s="190"/>
      <c r="YP163" s="190"/>
      <c r="YQ163" s="190"/>
      <c r="YR163" s="190"/>
      <c r="YS163" s="190"/>
      <c r="YT163" s="190"/>
      <c r="YU163" s="190"/>
      <c r="YV163" s="190"/>
      <c r="YW163" s="190"/>
      <c r="YX163" s="190"/>
      <c r="YY163" s="190"/>
      <c r="YZ163" s="190"/>
      <c r="ZA163" s="190"/>
      <c r="ZB163" s="190"/>
      <c r="ZC163" s="190"/>
      <c r="ZD163" s="190"/>
      <c r="ZE163" s="190"/>
      <c r="ZF163" s="190"/>
      <c r="ZG163" s="190"/>
      <c r="ZH163" s="190"/>
      <c r="ZI163" s="190"/>
      <c r="ZJ163" s="190"/>
      <c r="ZK163" s="190"/>
      <c r="ZL163" s="190"/>
      <c r="ZM163" s="190"/>
      <c r="ZN163" s="190"/>
      <c r="ZO163" s="190"/>
      <c r="ZP163" s="190"/>
      <c r="ZQ163" s="190"/>
      <c r="ZR163" s="190"/>
      <c r="ZS163" s="190"/>
      <c r="ZT163" s="190"/>
      <c r="ZU163" s="190"/>
      <c r="ZV163" s="190"/>
      <c r="ZW163" s="190"/>
      <c r="ZX163" s="190"/>
      <c r="ZY163" s="190"/>
      <c r="ZZ163" s="190"/>
      <c r="AAA163" s="190"/>
      <c r="AAB163" s="190"/>
      <c r="AAC163" s="190"/>
      <c r="AAD163" s="190"/>
      <c r="AAE163" s="190"/>
      <c r="AAF163" s="190"/>
      <c r="AAG163" s="190"/>
      <c r="AAH163" s="190"/>
      <c r="AAI163" s="190"/>
      <c r="AAJ163" s="190"/>
      <c r="AAK163" s="190"/>
      <c r="AAL163" s="190"/>
      <c r="AAM163" s="190"/>
      <c r="AAN163" s="190"/>
      <c r="AAO163" s="190"/>
      <c r="AAP163" s="190"/>
      <c r="AAQ163" s="190"/>
      <c r="AAR163" s="190"/>
      <c r="AAS163" s="190"/>
      <c r="AAT163" s="190"/>
      <c r="AAU163" s="190"/>
      <c r="AAV163" s="190"/>
      <c r="AAW163" s="190"/>
      <c r="AAX163" s="190"/>
      <c r="AAY163" s="190"/>
      <c r="AAZ163" s="190"/>
      <c r="ABA163" s="190"/>
      <c r="ABB163" s="190"/>
      <c r="ABC163" s="190"/>
      <c r="ABD163" s="190"/>
      <c r="ABE163" s="190"/>
      <c r="ABF163" s="190"/>
      <c r="ABG163" s="190"/>
      <c r="ABH163" s="190"/>
      <c r="ABI163" s="190"/>
      <c r="ABJ163" s="190"/>
      <c r="ABK163" s="190"/>
      <c r="ABL163" s="190"/>
      <c r="ABM163" s="190"/>
      <c r="ABN163" s="190"/>
      <c r="ABO163" s="190"/>
      <c r="ABP163" s="190"/>
      <c r="ABQ163" s="190"/>
      <c r="ABR163" s="190"/>
      <c r="ABS163" s="190"/>
      <c r="ABT163" s="190"/>
      <c r="ABU163" s="190"/>
      <c r="ABV163" s="190"/>
      <c r="ABW163" s="190"/>
      <c r="ABX163" s="190"/>
      <c r="ABY163" s="190"/>
      <c r="ABZ163" s="190"/>
      <c r="ACA163" s="190"/>
      <c r="ACB163" s="190"/>
      <c r="ACC163" s="190"/>
      <c r="ACD163" s="190"/>
      <c r="ACE163" s="190"/>
      <c r="ACF163" s="190"/>
      <c r="ACG163" s="190"/>
      <c r="ACH163" s="190"/>
      <c r="ACI163" s="190"/>
      <c r="ACJ163" s="190"/>
      <c r="ACK163" s="190"/>
      <c r="ACL163" s="190"/>
      <c r="ACM163" s="190"/>
      <c r="ACN163" s="190"/>
      <c r="ACO163" s="190"/>
      <c r="ACP163" s="190"/>
      <c r="ACQ163" s="190"/>
      <c r="ACR163" s="190"/>
      <c r="ACS163" s="190"/>
      <c r="ACT163" s="190"/>
      <c r="ACU163" s="190"/>
      <c r="ACV163" s="190"/>
      <c r="ACW163" s="190"/>
      <c r="ACX163" s="190"/>
      <c r="ACY163" s="190"/>
      <c r="ACZ163" s="190"/>
      <c r="ADA163" s="190"/>
      <c r="ADB163" s="190"/>
      <c r="ADC163" s="190"/>
      <c r="ADD163" s="190"/>
      <c r="ADE163" s="190"/>
      <c r="ADF163" s="190"/>
      <c r="ADG163" s="190"/>
      <c r="ADH163" s="190"/>
      <c r="ADI163" s="190"/>
      <c r="ADJ163" s="190"/>
      <c r="ADK163" s="190"/>
      <c r="ADL163" s="190"/>
      <c r="ADM163" s="190"/>
      <c r="ADN163" s="190"/>
      <c r="ADO163" s="190"/>
      <c r="ADP163" s="190"/>
      <c r="ADQ163" s="190"/>
      <c r="ADR163" s="190"/>
      <c r="ADS163" s="190"/>
      <c r="ADT163" s="190"/>
      <c r="ADU163" s="190"/>
      <c r="ADV163" s="190"/>
      <c r="ADW163" s="190"/>
      <c r="ADX163" s="190"/>
      <c r="ADY163" s="190"/>
      <c r="ADZ163" s="190"/>
      <c r="AEA163" s="190"/>
      <c r="AEB163" s="190"/>
      <c r="AEC163" s="190"/>
      <c r="AED163" s="190"/>
      <c r="AEE163" s="190"/>
      <c r="AEF163" s="190"/>
      <c r="AEG163" s="190"/>
      <c r="AEH163" s="190"/>
      <c r="AEI163" s="190"/>
      <c r="AEJ163" s="190"/>
      <c r="AEK163" s="190"/>
      <c r="AEL163" s="190"/>
      <c r="AEM163" s="190"/>
      <c r="AEN163" s="190"/>
      <c r="AEO163" s="190"/>
      <c r="AEP163" s="190"/>
      <c r="AEQ163" s="190"/>
      <c r="AER163" s="190"/>
      <c r="AES163" s="190"/>
      <c r="AET163" s="190"/>
      <c r="AEU163" s="190"/>
      <c r="AEV163" s="190"/>
      <c r="AEW163" s="190"/>
      <c r="AEX163" s="190"/>
      <c r="AEY163" s="190"/>
      <c r="AEZ163" s="190"/>
      <c r="AFA163" s="190"/>
      <c r="AFB163" s="190"/>
      <c r="AFC163" s="190"/>
      <c r="AFD163" s="190"/>
      <c r="AFE163" s="190"/>
      <c r="AFF163" s="190"/>
      <c r="AFG163" s="190"/>
      <c r="AFH163" s="190"/>
      <c r="AFI163" s="190"/>
      <c r="AFJ163" s="190"/>
      <c r="AFK163" s="190"/>
      <c r="AFL163" s="190"/>
      <c r="AFM163" s="190"/>
      <c r="AFN163" s="190"/>
      <c r="AFO163" s="190"/>
      <c r="AFP163" s="190"/>
      <c r="AFQ163" s="190"/>
      <c r="AFR163" s="190"/>
      <c r="AFS163" s="190"/>
      <c r="AFT163" s="190"/>
      <c r="AFU163" s="190"/>
      <c r="AFV163" s="190"/>
      <c r="AFW163" s="190"/>
      <c r="AFX163" s="190"/>
      <c r="AFY163" s="190"/>
      <c r="AFZ163" s="190"/>
      <c r="AGA163" s="190"/>
      <c r="AGB163" s="190"/>
      <c r="AGC163" s="190"/>
      <c r="AGD163" s="190"/>
      <c r="AGE163" s="190"/>
      <c r="AGF163" s="190"/>
      <c r="AGG163" s="190"/>
      <c r="AGH163" s="190"/>
      <c r="AGI163" s="190"/>
      <c r="AGJ163" s="190"/>
      <c r="AGK163" s="190"/>
      <c r="AGL163" s="190"/>
      <c r="AGM163" s="190"/>
      <c r="AGN163" s="190"/>
      <c r="AGO163" s="190"/>
      <c r="AGP163" s="190"/>
      <c r="AGQ163" s="190"/>
      <c r="AGR163" s="190"/>
      <c r="AGS163" s="190"/>
      <c r="AGT163" s="190"/>
      <c r="AGU163" s="190"/>
      <c r="AGV163" s="190"/>
      <c r="AGW163" s="190"/>
      <c r="AGX163" s="190"/>
      <c r="AGY163" s="190"/>
      <c r="AGZ163" s="190"/>
      <c r="AHA163" s="190"/>
      <c r="AHB163" s="190"/>
      <c r="AHC163" s="190"/>
      <c r="AHD163" s="190"/>
      <c r="AHE163" s="190"/>
      <c r="AHF163" s="190"/>
      <c r="AHG163" s="190"/>
      <c r="AHH163" s="190"/>
      <c r="AHI163" s="190"/>
      <c r="AHJ163" s="190"/>
      <c r="AHK163" s="190"/>
      <c r="AHL163" s="190"/>
      <c r="AHM163" s="190"/>
      <c r="AHN163" s="190"/>
      <c r="AHO163" s="190"/>
      <c r="AHP163" s="190"/>
      <c r="AHQ163" s="190"/>
      <c r="AHR163" s="190"/>
      <c r="AHS163" s="190"/>
      <c r="AHT163" s="190"/>
      <c r="AHU163" s="190"/>
      <c r="AHV163" s="190"/>
      <c r="AHW163" s="190"/>
      <c r="AHX163" s="190"/>
      <c r="AHY163" s="190"/>
      <c r="AHZ163" s="190"/>
      <c r="AIA163" s="190"/>
      <c r="AIB163" s="190"/>
      <c r="AIC163" s="190"/>
      <c r="AID163" s="190"/>
      <c r="AIE163" s="190"/>
      <c r="AIF163" s="190"/>
      <c r="AIG163" s="190"/>
      <c r="AIH163" s="190"/>
      <c r="AII163" s="190"/>
      <c r="AIJ163" s="190"/>
      <c r="AIK163" s="190"/>
      <c r="AIL163" s="190"/>
      <c r="AIM163" s="190"/>
      <c r="AIN163" s="190"/>
      <c r="AIO163" s="190"/>
      <c r="AIP163" s="190"/>
      <c r="AIQ163" s="190"/>
      <c r="AIR163" s="190"/>
      <c r="AIS163" s="190"/>
      <c r="AIT163" s="190"/>
      <c r="AIU163" s="190"/>
      <c r="AIV163" s="190"/>
      <c r="AIW163" s="190"/>
      <c r="AIX163" s="190"/>
      <c r="AIY163" s="190"/>
      <c r="AIZ163" s="190"/>
      <c r="AJA163" s="190"/>
      <c r="AJB163" s="190"/>
      <c r="AJC163" s="190"/>
    </row>
  </sheetData>
  <sheetProtection formatCells="0" formatColumns="0" formatRows="0"/>
  <protectedRanges>
    <protectedRange password="C670" sqref="L137:W137 A65:W68 A74:W77 A80:W92" name="Maria"/>
    <protectedRange algorithmName="SHA-512" hashValue="R0m7mG/o0t2+7dbQTzM5iQkFX2amgAS+iAGJudQnnweh07e6LDAbSuhvcwbzcp7drP+HIG4d/wHfMCXiBXmkow==" saltValue="hXh6Ce3lteSj/cvmR3BSBw==" spinCount="100000" sqref="A114:S134 V114:W134 L138:S138 V138:W138 V96:W97 V148:W148 A148:S148 A96:N97 P96:S97" name="Narine"/>
    <protectedRange algorithmName="SHA-512" hashValue="/qDn2zoAPl6XveVGTDHZcWIjR6P6fmKMYiOIx92BVGuoQ3TYOXlsDsoiDSLs1D9Ugjb3A3EixLJ11cGk8PSHvw==" saltValue="LV/JN9wntl8CkZ3QpoEkqA==" spinCount="100000" sqref="A62:S63 V62:W63 V97:W99 A97:S99 O96" name="Nara"/>
    <protectedRange algorithmName="SHA-512" hashValue="2hnhy85Hze6pXZTujHMyiGA7lE9yapdzAMEgpTAQUbEvX5wkbgVJAYj8efzABUddHb+HHBXm+QO7FFQ7DdcL0Q==" saltValue="/3Se5MhqYIbXZuII16lL6A==" spinCount="100000" sqref="A104:W109 A73:W73" name="Nona"/>
  </protectedRanges>
  <mergeCells count="200">
    <mergeCell ref="D147:L147"/>
    <mergeCell ref="A139:C142"/>
    <mergeCell ref="D139:L139"/>
    <mergeCell ref="D140:L140"/>
    <mergeCell ref="D141:L141"/>
    <mergeCell ref="D142:L142"/>
    <mergeCell ref="A143:C147"/>
    <mergeCell ref="D143:L143"/>
    <mergeCell ref="D144:L144"/>
    <mergeCell ref="D145:L145"/>
    <mergeCell ref="D146:L146"/>
    <mergeCell ref="A110:C113"/>
    <mergeCell ref="D110:L110"/>
    <mergeCell ref="D111:L111"/>
    <mergeCell ref="D112:L112"/>
    <mergeCell ref="D113:L113"/>
    <mergeCell ref="B135:K138"/>
    <mergeCell ref="A100:C103"/>
    <mergeCell ref="D100:L100"/>
    <mergeCell ref="D101:L101"/>
    <mergeCell ref="D102:L102"/>
    <mergeCell ref="D103:L103"/>
    <mergeCell ref="B107:B109"/>
    <mergeCell ref="C107:C109"/>
    <mergeCell ref="V87:V88"/>
    <mergeCell ref="A93:A94"/>
    <mergeCell ref="B93:B94"/>
    <mergeCell ref="C93:C94"/>
    <mergeCell ref="D93:D94"/>
    <mergeCell ref="K93:K94"/>
    <mergeCell ref="L93:L94"/>
    <mergeCell ref="V93:V94"/>
    <mergeCell ref="A76:A77"/>
    <mergeCell ref="B76:B77"/>
    <mergeCell ref="C76:C77"/>
    <mergeCell ref="L76:L77"/>
    <mergeCell ref="V81:V83"/>
    <mergeCell ref="A87:A88"/>
    <mergeCell ref="B87:B88"/>
    <mergeCell ref="C87:C88"/>
    <mergeCell ref="D87:D88"/>
    <mergeCell ref="K87:K88"/>
    <mergeCell ref="A58:C61"/>
    <mergeCell ref="D58:L58"/>
    <mergeCell ref="D59:L59"/>
    <mergeCell ref="D60:L60"/>
    <mergeCell ref="D61:L61"/>
    <mergeCell ref="A69:C72"/>
    <mergeCell ref="D69:L69"/>
    <mergeCell ref="D70:L70"/>
    <mergeCell ref="D71:L71"/>
    <mergeCell ref="D72:L72"/>
    <mergeCell ref="B53:B54"/>
    <mergeCell ref="V53:V54"/>
    <mergeCell ref="A56:A57"/>
    <mergeCell ref="B56:B57"/>
    <mergeCell ref="C56:C57"/>
    <mergeCell ref="V56:V57"/>
    <mergeCell ref="Q45:Q46"/>
    <mergeCell ref="A47:C51"/>
    <mergeCell ref="D47:L47"/>
    <mergeCell ref="D48:L48"/>
    <mergeCell ref="D49:L49"/>
    <mergeCell ref="D50:L50"/>
    <mergeCell ref="D51:L51"/>
    <mergeCell ref="V34:V36"/>
    <mergeCell ref="A43:A44"/>
    <mergeCell ref="B43:B44"/>
    <mergeCell ref="C43:C44"/>
    <mergeCell ref="K43:K44"/>
    <mergeCell ref="L43:L44"/>
    <mergeCell ref="Q43:Q44"/>
    <mergeCell ref="V43:V44"/>
    <mergeCell ref="A34:A36"/>
    <mergeCell ref="B34:B36"/>
    <mergeCell ref="C34:C36"/>
    <mergeCell ref="D34:D36"/>
    <mergeCell ref="E34:E36"/>
    <mergeCell ref="K34:K36"/>
    <mergeCell ref="G31:G32"/>
    <mergeCell ref="H31:H32"/>
    <mergeCell ref="I31:I32"/>
    <mergeCell ref="J31:J32"/>
    <mergeCell ref="K31:K32"/>
    <mergeCell ref="L31:L32"/>
    <mergeCell ref="A31:A32"/>
    <mergeCell ref="B31:B32"/>
    <mergeCell ref="C31:C32"/>
    <mergeCell ref="D31:D32"/>
    <mergeCell ref="E31:E32"/>
    <mergeCell ref="F31:F32"/>
    <mergeCell ref="D23:D26"/>
    <mergeCell ref="E23:E26"/>
    <mergeCell ref="F23:F26"/>
    <mergeCell ref="J27:J28"/>
    <mergeCell ref="C29:C30"/>
    <mergeCell ref="D29:D30"/>
    <mergeCell ref="E29:E30"/>
    <mergeCell ref="F29:F30"/>
    <mergeCell ref="G29:G30"/>
    <mergeCell ref="H29:H30"/>
    <mergeCell ref="I29:I30"/>
    <mergeCell ref="J29:J30"/>
    <mergeCell ref="C27:C28"/>
    <mergeCell ref="D27:D28"/>
    <mergeCell ref="F27:F28"/>
    <mergeCell ref="G27:G28"/>
    <mergeCell ref="H27:H28"/>
    <mergeCell ref="I27:I28"/>
    <mergeCell ref="J19:J21"/>
    <mergeCell ref="K19:K20"/>
    <mergeCell ref="L19:L20"/>
    <mergeCell ref="Q19:Q22"/>
    <mergeCell ref="V19:V20"/>
    <mergeCell ref="Q23:Q24"/>
    <mergeCell ref="V23:V24"/>
    <mergeCell ref="W23:W24"/>
    <mergeCell ref="A25:A26"/>
    <mergeCell ref="B25:B26"/>
    <mergeCell ref="K25:K26"/>
    <mergeCell ref="L25:L26"/>
    <mergeCell ref="Q25:Q26"/>
    <mergeCell ref="V25:V26"/>
    <mergeCell ref="W25:W26"/>
    <mergeCell ref="G23:G26"/>
    <mergeCell ref="H23:H26"/>
    <mergeCell ref="I23:I26"/>
    <mergeCell ref="J23:J26"/>
    <mergeCell ref="K23:K24"/>
    <mergeCell ref="L23:L24"/>
    <mergeCell ref="A23:A24"/>
    <mergeCell ref="B23:B24"/>
    <mergeCell ref="C23:C26"/>
    <mergeCell ref="V17:V18"/>
    <mergeCell ref="W17:W18"/>
    <mergeCell ref="A19:A20"/>
    <mergeCell ref="B19:B20"/>
    <mergeCell ref="C19:C22"/>
    <mergeCell ref="D19:D22"/>
    <mergeCell ref="E19:E21"/>
    <mergeCell ref="F19:F21"/>
    <mergeCell ref="G19:G21"/>
    <mergeCell ref="H19:H21"/>
    <mergeCell ref="A17:A18"/>
    <mergeCell ref="B17:B18"/>
    <mergeCell ref="C17:C18"/>
    <mergeCell ref="D17:D18"/>
    <mergeCell ref="K17:K18"/>
    <mergeCell ref="L17:L18"/>
    <mergeCell ref="W19:W20"/>
    <mergeCell ref="A21:A22"/>
    <mergeCell ref="B21:B22"/>
    <mergeCell ref="K21:K22"/>
    <mergeCell ref="L21:L22"/>
    <mergeCell ref="V21:V22"/>
    <mergeCell ref="W21:W22"/>
    <mergeCell ref="I19:I21"/>
    <mergeCell ref="J15:J16"/>
    <mergeCell ref="K15:K16"/>
    <mergeCell ref="L15:L16"/>
    <mergeCell ref="Q15:Q16"/>
    <mergeCell ref="V15:V16"/>
    <mergeCell ref="W15:W16"/>
    <mergeCell ref="V13:V14"/>
    <mergeCell ref="A15:A16"/>
    <mergeCell ref="B15:B16"/>
    <mergeCell ref="C15:C16"/>
    <mergeCell ref="D15:D16"/>
    <mergeCell ref="E15:E16"/>
    <mergeCell ref="F15:F16"/>
    <mergeCell ref="G15:G16"/>
    <mergeCell ref="H15:H16"/>
    <mergeCell ref="I15:I16"/>
    <mergeCell ref="A13:A14"/>
    <mergeCell ref="B13:B14"/>
    <mergeCell ref="C13:C14"/>
    <mergeCell ref="K13:K14"/>
    <mergeCell ref="L13:L14"/>
    <mergeCell ref="Q13:Q14"/>
    <mergeCell ref="A1:V1"/>
    <mergeCell ref="A2:V2"/>
    <mergeCell ref="A5:A6"/>
    <mergeCell ref="B5:B6"/>
    <mergeCell ref="D5:D6"/>
    <mergeCell ref="E5:E6"/>
    <mergeCell ref="K5:K6"/>
    <mergeCell ref="V9:V10"/>
    <mergeCell ref="A11:A12"/>
    <mergeCell ref="B11:B12"/>
    <mergeCell ref="C11:C12"/>
    <mergeCell ref="K11:K12"/>
    <mergeCell ref="L11:L12"/>
    <mergeCell ref="Q11:Q12"/>
    <mergeCell ref="V11:V12"/>
    <mergeCell ref="A9:A10"/>
    <mergeCell ref="B9:B10"/>
    <mergeCell ref="C9:C10"/>
    <mergeCell ref="K9:K10"/>
    <mergeCell ref="L9:L10"/>
    <mergeCell ref="Q9:Q10"/>
  </mergeCells>
  <conditionalFormatting sqref="P5">
    <cfRule type="cellIs" dxfId="29" priority="5" operator="notEqual">
      <formula>#REF!</formula>
    </cfRule>
  </conditionalFormatting>
  <conditionalFormatting sqref="P95 P6:P33 P35:P41 P43:P45">
    <cfRule type="cellIs" dxfId="28" priority="4" operator="notEqual">
      <formula>#REF!</formula>
    </cfRule>
  </conditionalFormatting>
  <conditionalFormatting sqref="N21">
    <cfRule type="cellIs" dxfId="27" priority="3" operator="notEqual">
      <formula>#REF!</formula>
    </cfRule>
  </conditionalFormatting>
  <conditionalFormatting sqref="P46">
    <cfRule type="cellIs" dxfId="26" priority="2" operator="notEqual">
      <formula>#REF!</formula>
    </cfRule>
  </conditionalFormatting>
  <conditionalFormatting sqref="P79">
    <cfRule type="cellIs" dxfId="25" priority="1" operator="notEqual">
      <formula>#REF!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7"/>
  <sheetViews>
    <sheetView topLeftCell="B1" zoomScale="90" zoomScaleNormal="90" workbookViewId="0">
      <pane xSplit="1" ySplit="4" topLeftCell="G5" activePane="bottomRight" state="frozen"/>
      <selection activeCell="B1" sqref="B1"/>
      <selection pane="topRight" activeCell="C1" sqref="C1"/>
      <selection pane="bottomLeft" activeCell="B5" sqref="B5"/>
      <selection pane="bottomRight" activeCell="J6" sqref="J6"/>
    </sheetView>
  </sheetViews>
  <sheetFormatPr defaultRowHeight="13.5" outlineLevelRow="1" x14ac:dyDescent="0.25"/>
  <cols>
    <col min="1" max="1" width="6.85546875" style="3" customWidth="1"/>
    <col min="2" max="2" width="30.42578125" style="528" customWidth="1"/>
    <col min="3" max="3" width="30.42578125" style="3" customWidth="1"/>
    <col min="4" max="5" width="19.28515625" style="3" customWidth="1"/>
    <col min="6" max="6" width="23" style="3" customWidth="1"/>
    <col min="7" max="7" width="23.28515625" style="674" customWidth="1"/>
    <col min="8" max="8" width="20.140625" style="3" customWidth="1"/>
    <col min="9" max="9" width="16.42578125" style="3" bestFit="1" customWidth="1"/>
    <col min="10" max="10" width="21.28515625" style="3" customWidth="1"/>
    <col min="11" max="11" width="20.28515625" style="3" customWidth="1"/>
    <col min="12" max="12" width="21.7109375" style="677" customWidth="1"/>
    <col min="13" max="13" width="18.5703125" style="3" customWidth="1"/>
    <col min="14" max="14" width="18.85546875" style="3" bestFit="1" customWidth="1"/>
    <col min="15" max="15" width="26.7109375" style="3" bestFit="1" customWidth="1"/>
    <col min="16" max="16" width="26.42578125" style="3" customWidth="1"/>
    <col min="17" max="17" width="23.42578125" style="3" customWidth="1"/>
    <col min="18" max="18" width="23.5703125" style="2" customWidth="1"/>
    <col min="19" max="19" width="21.85546875" style="3" customWidth="1"/>
    <col min="20" max="16384" width="9.140625" style="3"/>
  </cols>
  <sheetData>
    <row r="1" spans="1:19" ht="22.5" x14ac:dyDescent="0.4">
      <c r="A1" s="529" t="s">
        <v>15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30"/>
    </row>
    <row r="2" spans="1:19" ht="38.25" customHeight="1" x14ac:dyDescent="0.4">
      <c r="A2" s="531" t="s">
        <v>475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2"/>
    </row>
    <row r="3" spans="1:19" ht="33.75" customHeight="1" thickBot="1" x14ac:dyDescent="0.3">
      <c r="A3" s="533"/>
      <c r="C3" s="533"/>
      <c r="D3" s="533"/>
      <c r="E3" s="533"/>
      <c r="F3" s="533"/>
      <c r="G3" s="534"/>
      <c r="H3" s="533"/>
      <c r="I3" s="533"/>
      <c r="J3" s="533"/>
      <c r="K3" s="533"/>
      <c r="L3" s="535"/>
      <c r="M3" s="533"/>
      <c r="N3" s="533"/>
      <c r="O3" s="533"/>
      <c r="P3" s="533"/>
      <c r="Q3" s="536"/>
    </row>
    <row r="4" spans="1:19" s="6" customFormat="1" ht="114" customHeight="1" thickBot="1" x14ac:dyDescent="0.3">
      <c r="A4" s="537" t="s">
        <v>128</v>
      </c>
      <c r="B4" s="538" t="s">
        <v>35</v>
      </c>
      <c r="C4" s="538" t="s">
        <v>153</v>
      </c>
      <c r="D4" s="538" t="s">
        <v>154</v>
      </c>
      <c r="E4" s="538" t="s">
        <v>435</v>
      </c>
      <c r="F4" s="538" t="s">
        <v>429</v>
      </c>
      <c r="G4" s="538" t="s">
        <v>14</v>
      </c>
      <c r="H4" s="538" t="s">
        <v>343</v>
      </c>
      <c r="I4" s="538" t="s">
        <v>20</v>
      </c>
      <c r="J4" s="538" t="s">
        <v>345</v>
      </c>
      <c r="K4" s="538" t="s">
        <v>347</v>
      </c>
      <c r="L4" s="539" t="s">
        <v>344</v>
      </c>
      <c r="M4" s="538" t="s">
        <v>5</v>
      </c>
      <c r="N4" s="538" t="s">
        <v>22</v>
      </c>
      <c r="O4" s="538" t="s">
        <v>6</v>
      </c>
      <c r="P4" s="538" t="s">
        <v>7</v>
      </c>
      <c r="Q4" s="540" t="s">
        <v>427</v>
      </c>
      <c r="R4" s="5"/>
      <c r="S4" s="541"/>
    </row>
    <row r="5" spans="1:19" ht="75" customHeight="1" outlineLevel="1" x14ac:dyDescent="0.25">
      <c r="A5" s="542">
        <v>1</v>
      </c>
      <c r="B5" s="367" t="s">
        <v>27</v>
      </c>
      <c r="C5" s="543" t="s">
        <v>40</v>
      </c>
      <c r="D5" s="513" t="s">
        <v>61</v>
      </c>
      <c r="E5" s="544" t="s">
        <v>436</v>
      </c>
      <c r="F5" s="513" t="s">
        <v>430</v>
      </c>
      <c r="G5" s="545" t="s">
        <v>39</v>
      </c>
      <c r="H5" s="513" t="s">
        <v>76</v>
      </c>
      <c r="I5" s="546" t="s">
        <v>30</v>
      </c>
      <c r="J5" s="287">
        <v>7300000</v>
      </c>
      <c r="K5" s="287">
        <f>5822389.5+13412.1+4470.7+716451.75+24588.85+716451.75+2235.35</f>
        <v>7299999.9999999991</v>
      </c>
      <c r="L5" s="547" t="s">
        <v>97</v>
      </c>
      <c r="M5" s="287">
        <f>595000+119000+119000+119000+119000+119000+119000+49036330/412.07</f>
        <v>1428000</v>
      </c>
      <c r="N5" s="287">
        <f>652083.5+22907.49+9236384.2/412.07</f>
        <v>697405.58994661097</v>
      </c>
      <c r="O5" s="287">
        <f t="shared" ref="O5:O35" si="0">K5-M5</f>
        <v>5871999.9999999991</v>
      </c>
      <c r="P5" s="517" t="s">
        <v>437</v>
      </c>
      <c r="Q5" s="518" t="s">
        <v>428</v>
      </c>
      <c r="S5" s="2"/>
    </row>
    <row r="6" spans="1:19" ht="75.75" customHeight="1" outlineLevel="1" x14ac:dyDescent="0.25">
      <c r="A6" s="506"/>
      <c r="B6" s="282" t="s">
        <v>27</v>
      </c>
      <c r="C6" s="548" t="s">
        <v>41</v>
      </c>
      <c r="D6" s="513" t="s">
        <v>61</v>
      </c>
      <c r="E6" s="544"/>
      <c r="F6" s="368" t="s">
        <v>430</v>
      </c>
      <c r="G6" s="549"/>
      <c r="H6" s="368" t="s">
        <v>75</v>
      </c>
      <c r="I6" s="503" t="s">
        <v>30</v>
      </c>
      <c r="J6" s="284">
        <v>7300000</v>
      </c>
      <c r="K6" s="284">
        <v>7299999.9999999981</v>
      </c>
      <c r="L6" s="550" t="s">
        <v>62</v>
      </c>
      <c r="M6" s="284">
        <f>5474999.9+304166.7+304166.7+304166.7+304166.7+304166.7+304167</f>
        <v>7300000.4000000013</v>
      </c>
      <c r="N6" s="284">
        <f>1226756+8356.16+4154.77</f>
        <v>1239266.93</v>
      </c>
      <c r="O6" s="284">
        <f t="shared" si="0"/>
        <v>-0.40000000316649675</v>
      </c>
      <c r="P6" s="291" t="s">
        <v>36</v>
      </c>
      <c r="Q6" s="369" t="s">
        <v>482</v>
      </c>
      <c r="S6" s="2"/>
    </row>
    <row r="7" spans="1:19" ht="79.5" customHeight="1" outlineLevel="1" x14ac:dyDescent="0.25">
      <c r="A7" s="225">
        <v>2</v>
      </c>
      <c r="B7" s="282" t="s">
        <v>27</v>
      </c>
      <c r="C7" s="282" t="s">
        <v>37</v>
      </c>
      <c r="D7" s="368" t="s">
        <v>61</v>
      </c>
      <c r="E7" s="551" t="s">
        <v>438</v>
      </c>
      <c r="F7" s="368" t="s">
        <v>430</v>
      </c>
      <c r="G7" s="551" t="s">
        <v>38</v>
      </c>
      <c r="H7" s="368" t="s">
        <v>77</v>
      </c>
      <c r="I7" s="503" t="s">
        <v>30</v>
      </c>
      <c r="J7" s="284">
        <v>14060526.73</v>
      </c>
      <c r="K7" s="284">
        <v>14060526.73</v>
      </c>
      <c r="L7" s="290">
        <v>7.4999999999999997E-3</v>
      </c>
      <c r="M7" s="284">
        <f>5858552.73979552+234342.1+234342.1+98055764.9/418.43+98932204.4/422.17+104987604.2/448.01+97345708.3/415.4+96565349.2/412.07</f>
        <v>7498947.4398756567</v>
      </c>
      <c r="N7" s="284">
        <f>1294472.69934396+40254.3+39195.3+16095956/418.43+15796672.6/422.17+16433280.1/448.01+14866002.9/415.4+14315888.7/412.07</f>
        <v>1557016.8093066525</v>
      </c>
      <c r="O7" s="284">
        <f t="shared" si="0"/>
        <v>6561579.2901243437</v>
      </c>
      <c r="P7" s="291" t="s">
        <v>108</v>
      </c>
      <c r="Q7" s="369" t="s">
        <v>428</v>
      </c>
      <c r="S7" s="2"/>
    </row>
    <row r="8" spans="1:19" ht="78.75" customHeight="1" outlineLevel="1" x14ac:dyDescent="0.25">
      <c r="A8" s="225">
        <v>3</v>
      </c>
      <c r="B8" s="282" t="s">
        <v>27</v>
      </c>
      <c r="C8" s="282" t="s">
        <v>33</v>
      </c>
      <c r="D8" s="368" t="s">
        <v>61</v>
      </c>
      <c r="E8" s="551" t="s">
        <v>443</v>
      </c>
      <c r="F8" s="368" t="s">
        <v>430</v>
      </c>
      <c r="G8" s="552" t="s">
        <v>34</v>
      </c>
      <c r="H8" s="368" t="s">
        <v>78</v>
      </c>
      <c r="I8" s="503" t="s">
        <v>30</v>
      </c>
      <c r="J8" s="284">
        <v>75000000</v>
      </c>
      <c r="K8" s="284"/>
      <c r="L8" s="290" t="s">
        <v>240</v>
      </c>
      <c r="M8" s="284"/>
      <c r="N8" s="284">
        <f>1932812.5+93750+93750+93750+93750+42000937.5/448.01+38943750/415.4+38631562.5/412.07</f>
        <v>2589062.5</v>
      </c>
      <c r="O8" s="284">
        <f t="shared" si="0"/>
        <v>0</v>
      </c>
      <c r="P8" s="291" t="s">
        <v>36</v>
      </c>
      <c r="Q8" s="369" t="s">
        <v>428</v>
      </c>
      <c r="S8" s="2"/>
    </row>
    <row r="9" spans="1:19" ht="81.75" customHeight="1" outlineLevel="1" x14ac:dyDescent="0.25">
      <c r="A9" s="498">
        <v>4</v>
      </c>
      <c r="B9" s="553" t="s">
        <v>27</v>
      </c>
      <c r="C9" s="500" t="s">
        <v>33</v>
      </c>
      <c r="D9" s="368" t="s">
        <v>61</v>
      </c>
      <c r="E9" s="554" t="s">
        <v>443</v>
      </c>
      <c r="F9" s="368" t="s">
        <v>430</v>
      </c>
      <c r="G9" s="501" t="s">
        <v>34</v>
      </c>
      <c r="H9" s="555" t="s">
        <v>79</v>
      </c>
      <c r="I9" s="503" t="s">
        <v>30</v>
      </c>
      <c r="J9" s="284">
        <v>10200000</v>
      </c>
      <c r="K9" s="284">
        <v>1351029.92</v>
      </c>
      <c r="L9" s="556" t="s">
        <v>97</v>
      </c>
      <c r="M9" s="284">
        <v>0</v>
      </c>
      <c r="N9" s="284">
        <f>200690.672577969+15587.2+6522152.1/418.43+6580448.3/422.17+6983221.5/448.01+6474922.9/415.4+6488083.3/412.07</f>
        <v>294371.77273986983</v>
      </c>
      <c r="O9" s="284">
        <f>K9-M9</f>
        <v>1351029.92</v>
      </c>
      <c r="P9" s="500" t="s">
        <v>36</v>
      </c>
      <c r="Q9" s="369" t="s">
        <v>428</v>
      </c>
      <c r="S9" s="2"/>
    </row>
    <row r="10" spans="1:19" ht="76.5" customHeight="1" outlineLevel="1" x14ac:dyDescent="0.25">
      <c r="A10" s="506"/>
      <c r="B10" s="553" t="s">
        <v>27</v>
      </c>
      <c r="C10" s="507"/>
      <c r="D10" s="368" t="s">
        <v>414</v>
      </c>
      <c r="E10" s="545"/>
      <c r="F10" s="513" t="s">
        <v>431</v>
      </c>
      <c r="G10" s="508"/>
      <c r="H10" s="557"/>
      <c r="I10" s="503" t="s">
        <v>51</v>
      </c>
      <c r="J10" s="284"/>
      <c r="K10" s="284">
        <v>257052669.90000001</v>
      </c>
      <c r="L10" s="556" t="s">
        <v>97</v>
      </c>
      <c r="M10" s="284"/>
      <c r="N10" s="284">
        <f>9774294.3+915305.4+915305.4+915305.4+915305.4+937784.6</f>
        <v>14373300.500000002</v>
      </c>
      <c r="O10" s="284">
        <f>K10-M10</f>
        <v>257052669.90000001</v>
      </c>
      <c r="P10" s="507"/>
      <c r="Q10" s="518" t="s">
        <v>428</v>
      </c>
      <c r="S10" s="2"/>
    </row>
    <row r="11" spans="1:19" ht="76.5" customHeight="1" outlineLevel="1" x14ac:dyDescent="0.25">
      <c r="A11" s="498">
        <v>5</v>
      </c>
      <c r="B11" s="553" t="s">
        <v>27</v>
      </c>
      <c r="C11" s="500" t="s">
        <v>186</v>
      </c>
      <c r="D11" s="368" t="s">
        <v>56</v>
      </c>
      <c r="E11" s="501" t="s">
        <v>444</v>
      </c>
      <c r="F11" s="368" t="s">
        <v>430</v>
      </c>
      <c r="G11" s="501" t="s">
        <v>190</v>
      </c>
      <c r="H11" s="555" t="s">
        <v>305</v>
      </c>
      <c r="I11" s="503" t="s">
        <v>30</v>
      </c>
      <c r="J11" s="284">
        <v>10000000</v>
      </c>
      <c r="K11" s="284"/>
      <c r="L11" s="556" t="s">
        <v>98</v>
      </c>
      <c r="M11" s="284"/>
      <c r="N11" s="284">
        <v>50000</v>
      </c>
      <c r="O11" s="284">
        <f>K11-M11</f>
        <v>0</v>
      </c>
      <c r="P11" s="500" t="s">
        <v>196</v>
      </c>
      <c r="Q11" s="369" t="s">
        <v>428</v>
      </c>
      <c r="S11" s="2"/>
    </row>
    <row r="12" spans="1:19" ht="76.5" customHeight="1" outlineLevel="1" x14ac:dyDescent="0.25">
      <c r="A12" s="506"/>
      <c r="B12" s="553" t="s">
        <v>27</v>
      </c>
      <c r="C12" s="507"/>
      <c r="D12" s="368" t="s">
        <v>414</v>
      </c>
      <c r="E12" s="508"/>
      <c r="F12" s="368" t="s">
        <v>431</v>
      </c>
      <c r="G12" s="508"/>
      <c r="H12" s="557"/>
      <c r="I12" s="368" t="s">
        <v>51</v>
      </c>
      <c r="J12" s="284"/>
      <c r="K12" s="284"/>
      <c r="L12" s="556" t="s">
        <v>98</v>
      </c>
      <c r="M12" s="284"/>
      <c r="N12" s="284"/>
      <c r="O12" s="284">
        <f t="shared" si="0"/>
        <v>0</v>
      </c>
      <c r="P12" s="507"/>
      <c r="Q12" s="518" t="s">
        <v>428</v>
      </c>
      <c r="S12" s="2"/>
    </row>
    <row r="13" spans="1:19" ht="76.5" customHeight="1" outlineLevel="1" x14ac:dyDescent="0.25">
      <c r="A13" s="498">
        <v>6</v>
      </c>
      <c r="B13" s="553" t="s">
        <v>27</v>
      </c>
      <c r="C13" s="500" t="s">
        <v>187</v>
      </c>
      <c r="D13" s="368" t="s">
        <v>61</v>
      </c>
      <c r="E13" s="501" t="s">
        <v>445</v>
      </c>
      <c r="F13" s="368" t="s">
        <v>430</v>
      </c>
      <c r="G13" s="501" t="s">
        <v>189</v>
      </c>
      <c r="H13" s="555" t="s">
        <v>188</v>
      </c>
      <c r="I13" s="503" t="s">
        <v>30</v>
      </c>
      <c r="J13" s="284">
        <v>83000000</v>
      </c>
      <c r="K13" s="284"/>
      <c r="L13" s="556" t="s">
        <v>415</v>
      </c>
      <c r="M13" s="284"/>
      <c r="N13" s="284">
        <f>1930326.40003794+103750+103750+103750+103750+46481037.5/448.01+43097750/415.4+42752262.5/412.07</f>
        <v>2656576.4000379397</v>
      </c>
      <c r="O13" s="284">
        <f t="shared" si="0"/>
        <v>0</v>
      </c>
      <c r="P13" s="500" t="s">
        <v>36</v>
      </c>
      <c r="Q13" s="369" t="s">
        <v>428</v>
      </c>
      <c r="S13" s="2"/>
    </row>
    <row r="14" spans="1:19" ht="76.5" customHeight="1" outlineLevel="1" x14ac:dyDescent="0.25">
      <c r="A14" s="506"/>
      <c r="B14" s="553" t="s">
        <v>27</v>
      </c>
      <c r="C14" s="507"/>
      <c r="D14" s="368" t="s">
        <v>414</v>
      </c>
      <c r="E14" s="508"/>
      <c r="F14" s="368" t="s">
        <v>431</v>
      </c>
      <c r="G14" s="508"/>
      <c r="H14" s="557"/>
      <c r="I14" s="368" t="s">
        <v>51</v>
      </c>
      <c r="J14" s="284"/>
      <c r="K14" s="284"/>
      <c r="L14" s="556" t="s">
        <v>415</v>
      </c>
      <c r="M14" s="284"/>
      <c r="N14" s="284"/>
      <c r="O14" s="284">
        <f t="shared" si="0"/>
        <v>0</v>
      </c>
      <c r="P14" s="507"/>
      <c r="Q14" s="518" t="s">
        <v>428</v>
      </c>
      <c r="R14" s="10"/>
      <c r="S14" s="2"/>
    </row>
    <row r="15" spans="1:19" ht="96.75" customHeight="1" outlineLevel="1" x14ac:dyDescent="0.25">
      <c r="A15" s="498">
        <v>7</v>
      </c>
      <c r="B15" s="553" t="s">
        <v>27</v>
      </c>
      <c r="C15" s="500" t="s">
        <v>47</v>
      </c>
      <c r="D15" s="555" t="s">
        <v>48</v>
      </c>
      <c r="E15" s="501" t="s">
        <v>446</v>
      </c>
      <c r="F15" s="368" t="s">
        <v>430</v>
      </c>
      <c r="G15" s="501" t="s">
        <v>49</v>
      </c>
      <c r="H15" s="555" t="s">
        <v>90</v>
      </c>
      <c r="I15" s="503" t="s">
        <v>26</v>
      </c>
      <c r="J15" s="284">
        <f>35500000-1434414.8</f>
        <v>34065585.200000003</v>
      </c>
      <c r="K15" s="284">
        <v>34065585.200000003</v>
      </c>
      <c r="L15" s="558" t="s">
        <v>399</v>
      </c>
      <c r="M15" s="284">
        <f>3406558.5+438685248.4/386.33+457603003.3/402.99+440229555/387.69+440172817.8/387.64</f>
        <v>7948636.6001575328</v>
      </c>
      <c r="N15" s="284">
        <f>6927866.15+372600334/386.33+433310604.9/402.99+419066992.3/387.69+399479184.6/387.64</f>
        <v>11079041.449912922</v>
      </c>
      <c r="O15" s="284">
        <f t="shared" si="0"/>
        <v>26116948.59984247</v>
      </c>
      <c r="P15" s="500" t="s">
        <v>31</v>
      </c>
      <c r="Q15" s="369" t="s">
        <v>428</v>
      </c>
      <c r="R15" s="10"/>
      <c r="S15" s="2"/>
    </row>
    <row r="16" spans="1:19" ht="81.75" customHeight="1" outlineLevel="1" x14ac:dyDescent="0.25">
      <c r="A16" s="506"/>
      <c r="B16" s="553" t="s">
        <v>27</v>
      </c>
      <c r="C16" s="507"/>
      <c r="D16" s="557"/>
      <c r="E16" s="508"/>
      <c r="F16" s="368" t="s">
        <v>431</v>
      </c>
      <c r="G16" s="508"/>
      <c r="H16" s="557"/>
      <c r="I16" s="368" t="s">
        <v>51</v>
      </c>
      <c r="J16" s="284"/>
      <c r="K16" s="284">
        <v>3680136115.8000002</v>
      </c>
      <c r="L16" s="558" t="s">
        <v>399</v>
      </c>
      <c r="M16" s="284">
        <f>387003402.1+121967878.3+121967878.3+121967878.3+121967878.2</f>
        <v>874874915.20000005</v>
      </c>
      <c r="N16" s="284">
        <f>743758864.24+103594252.5+115493072.7+116104685.6+110692047.4</f>
        <v>1189642922.4400001</v>
      </c>
      <c r="O16" s="284">
        <f t="shared" si="0"/>
        <v>2805261200.6000004</v>
      </c>
      <c r="P16" s="507"/>
      <c r="Q16" s="518" t="s">
        <v>428</v>
      </c>
      <c r="R16" s="10"/>
      <c r="S16" s="2"/>
    </row>
    <row r="17" spans="1:18" s="2" customFormat="1" ht="66.75" customHeight="1" outlineLevel="1" x14ac:dyDescent="0.25">
      <c r="A17" s="498">
        <v>8</v>
      </c>
      <c r="B17" s="553" t="s">
        <v>27</v>
      </c>
      <c r="C17" s="500" t="s">
        <v>50</v>
      </c>
      <c r="D17" s="555" t="s">
        <v>48</v>
      </c>
      <c r="E17" s="501" t="s">
        <v>447</v>
      </c>
      <c r="F17" s="368" t="s">
        <v>430</v>
      </c>
      <c r="G17" s="501" t="s">
        <v>28</v>
      </c>
      <c r="H17" s="501" t="s">
        <v>91</v>
      </c>
      <c r="I17" s="503" t="s">
        <v>26</v>
      </c>
      <c r="J17" s="559">
        <f>40000000-2500000-1500000</f>
        <v>36000000</v>
      </c>
      <c r="K17" s="284">
        <v>25459684.080000002</v>
      </c>
      <c r="L17" s="290" t="s">
        <v>399</v>
      </c>
      <c r="M17" s="284">
        <f>329635002.4/388.42</f>
        <v>848656.10009783215</v>
      </c>
      <c r="N17" s="284">
        <f>4091306.45123489+373977422.6/403.57+376544951.9/388.42</f>
        <v>5987406.7512976453</v>
      </c>
      <c r="O17" s="284">
        <f t="shared" si="0"/>
        <v>24611027.979902171</v>
      </c>
      <c r="P17" s="500" t="s">
        <v>31</v>
      </c>
      <c r="Q17" s="369" t="s">
        <v>428</v>
      </c>
      <c r="R17" s="10"/>
    </row>
    <row r="18" spans="1:18" s="2" customFormat="1" ht="58.5" customHeight="1" outlineLevel="1" x14ac:dyDescent="0.25">
      <c r="A18" s="506"/>
      <c r="B18" s="553" t="s">
        <v>27</v>
      </c>
      <c r="C18" s="507"/>
      <c r="D18" s="557"/>
      <c r="E18" s="508"/>
      <c r="F18" s="368" t="s">
        <v>431</v>
      </c>
      <c r="G18" s="508"/>
      <c r="H18" s="508"/>
      <c r="I18" s="368" t="s">
        <v>51</v>
      </c>
      <c r="J18" s="559"/>
      <c r="K18" s="284">
        <v>1298785286.0000002</v>
      </c>
      <c r="L18" s="290" t="s">
        <v>399</v>
      </c>
      <c r="M18" s="284">
        <f>563212.2+43274069.1</f>
        <v>43837281.300000004</v>
      </c>
      <c r="N18" s="284">
        <f>165583419.3+41681454.8+49409773.1</f>
        <v>256674647.20000002</v>
      </c>
      <c r="O18" s="284">
        <f t="shared" si="0"/>
        <v>1254948004.7000003</v>
      </c>
      <c r="P18" s="507"/>
      <c r="Q18" s="518" t="s">
        <v>428</v>
      </c>
      <c r="R18" s="10"/>
    </row>
    <row r="19" spans="1:18" s="2" customFormat="1" ht="70.5" customHeight="1" outlineLevel="1" x14ac:dyDescent="0.25">
      <c r="A19" s="498">
        <v>9</v>
      </c>
      <c r="B19" s="499" t="s">
        <v>27</v>
      </c>
      <c r="C19" s="500" t="s">
        <v>142</v>
      </c>
      <c r="D19" s="555" t="s">
        <v>48</v>
      </c>
      <c r="E19" s="549" t="s">
        <v>442</v>
      </c>
      <c r="F19" s="368" t="s">
        <v>430</v>
      </c>
      <c r="G19" s="544" t="s">
        <v>143</v>
      </c>
      <c r="H19" s="501" t="s">
        <v>218</v>
      </c>
      <c r="I19" s="503" t="s">
        <v>26</v>
      </c>
      <c r="J19" s="559">
        <v>23194486</v>
      </c>
      <c r="K19" s="284">
        <v>16458126.98</v>
      </c>
      <c r="L19" s="556" t="s">
        <v>399</v>
      </c>
      <c r="M19" s="284">
        <v>0</v>
      </c>
      <c r="N19" s="284">
        <f>1316813.632+122778919.2/386.33+153358408.7/402.99+182294474.3/387.69+212998140.2/387.64</f>
        <v>3034854.3323239107</v>
      </c>
      <c r="O19" s="284">
        <f t="shared" si="0"/>
        <v>16458126.98</v>
      </c>
      <c r="P19" s="500" t="s">
        <v>31</v>
      </c>
      <c r="Q19" s="369" t="s">
        <v>428</v>
      </c>
      <c r="R19" s="10"/>
    </row>
    <row r="20" spans="1:18" s="2" customFormat="1" ht="66.75" customHeight="1" outlineLevel="1" x14ac:dyDescent="0.25">
      <c r="A20" s="506"/>
      <c r="B20" s="499" t="s">
        <v>27</v>
      </c>
      <c r="C20" s="560"/>
      <c r="D20" s="561"/>
      <c r="E20" s="549"/>
      <c r="F20" s="368" t="s">
        <v>431</v>
      </c>
      <c r="G20" s="544"/>
      <c r="H20" s="508"/>
      <c r="I20" s="368" t="s">
        <v>51</v>
      </c>
      <c r="J20" s="559"/>
      <c r="K20" s="284">
        <v>1973431541.8999999</v>
      </c>
      <c r="L20" s="556" t="s">
        <v>399</v>
      </c>
      <c r="M20" s="284">
        <v>91463799.799999997</v>
      </c>
      <c r="N20" s="284">
        <f>119885553.7+36155098.5+43333756.7+53344969.4+61110243.5</f>
        <v>313829621.79999995</v>
      </c>
      <c r="O20" s="284">
        <f t="shared" si="0"/>
        <v>1881967742.0999999</v>
      </c>
      <c r="P20" s="507"/>
      <c r="Q20" s="369" t="s">
        <v>428</v>
      </c>
      <c r="R20" s="10"/>
    </row>
    <row r="21" spans="1:18" s="2" customFormat="1" ht="48" customHeight="1" outlineLevel="1" x14ac:dyDescent="0.25">
      <c r="A21" s="498">
        <v>10</v>
      </c>
      <c r="B21" s="499" t="s">
        <v>144</v>
      </c>
      <c r="C21" s="560"/>
      <c r="D21" s="561"/>
      <c r="E21" s="549"/>
      <c r="F21" s="368" t="s">
        <v>430</v>
      </c>
      <c r="G21" s="501" t="s">
        <v>165</v>
      </c>
      <c r="H21" s="501" t="s">
        <v>218</v>
      </c>
      <c r="I21" s="503" t="s">
        <v>26</v>
      </c>
      <c r="J21" s="284">
        <v>16662617.070000002</v>
      </c>
      <c r="K21" s="284">
        <v>16662617.070000002</v>
      </c>
      <c r="L21" s="556" t="s">
        <v>399</v>
      </c>
      <c r="M21" s="284"/>
      <c r="N21" s="284">
        <f>2194958+182027405/386.38+218562808/403.19+223111756.9/387.69+221137804.8/387.64</f>
        <v>4354113.9020888004</v>
      </c>
      <c r="O21" s="284">
        <f t="shared" si="0"/>
        <v>16662617.070000002</v>
      </c>
      <c r="P21" s="500" t="s">
        <v>31</v>
      </c>
      <c r="Q21" s="282" t="s">
        <v>428</v>
      </c>
      <c r="R21" s="10"/>
    </row>
    <row r="22" spans="1:18" s="2" customFormat="1" ht="54.75" customHeight="1" outlineLevel="1" x14ac:dyDescent="0.25">
      <c r="A22" s="506"/>
      <c r="B22" s="499" t="s">
        <v>144</v>
      </c>
      <c r="C22" s="507"/>
      <c r="D22" s="557"/>
      <c r="E22" s="549"/>
      <c r="F22" s="368" t="s">
        <v>431</v>
      </c>
      <c r="G22" s="508"/>
      <c r="H22" s="508"/>
      <c r="I22" s="503" t="s">
        <v>51</v>
      </c>
      <c r="J22" s="562"/>
      <c r="K22" s="284">
        <v>2003005775.2</v>
      </c>
      <c r="L22" s="556" t="s">
        <v>399</v>
      </c>
      <c r="M22" s="284"/>
      <c r="N22" s="284">
        <f>238604865.8+56631905+65163658.9+69156989.1+68598623.2</f>
        <v>498156041.99999994</v>
      </c>
      <c r="O22" s="284">
        <f t="shared" si="0"/>
        <v>2003005775.2</v>
      </c>
      <c r="P22" s="507"/>
      <c r="Q22" s="282" t="s">
        <v>428</v>
      </c>
      <c r="R22" s="10"/>
    </row>
    <row r="23" spans="1:18" s="2" customFormat="1" ht="54.75" customHeight="1" outlineLevel="1" x14ac:dyDescent="0.25">
      <c r="A23" s="563"/>
      <c r="B23" s="553" t="s">
        <v>27</v>
      </c>
      <c r="C23" s="500" t="s">
        <v>476</v>
      </c>
      <c r="D23" s="555" t="s">
        <v>48</v>
      </c>
      <c r="E23" s="554" t="s">
        <v>478</v>
      </c>
      <c r="F23" s="368" t="s">
        <v>430</v>
      </c>
      <c r="G23" s="564"/>
      <c r="H23" s="554" t="s">
        <v>477</v>
      </c>
      <c r="I23" s="503" t="s">
        <v>26</v>
      </c>
      <c r="J23" s="559">
        <v>40000000</v>
      </c>
      <c r="K23" s="284"/>
      <c r="L23" s="556"/>
      <c r="M23" s="284"/>
      <c r="N23" s="284"/>
      <c r="O23" s="284">
        <f t="shared" si="0"/>
        <v>0</v>
      </c>
      <c r="P23" s="500" t="s">
        <v>31</v>
      </c>
      <c r="Q23" s="282" t="s">
        <v>428</v>
      </c>
      <c r="R23" s="10"/>
    </row>
    <row r="24" spans="1:18" s="2" customFormat="1" ht="54.75" customHeight="1" outlineLevel="1" x14ac:dyDescent="0.25">
      <c r="A24" s="563"/>
      <c r="B24" s="553" t="s">
        <v>27</v>
      </c>
      <c r="C24" s="507"/>
      <c r="D24" s="557"/>
      <c r="E24" s="545"/>
      <c r="F24" s="368" t="s">
        <v>431</v>
      </c>
      <c r="G24" s="564"/>
      <c r="H24" s="545"/>
      <c r="I24" s="503" t="s">
        <v>51</v>
      </c>
      <c r="J24" s="559"/>
      <c r="K24" s="284"/>
      <c r="L24" s="556"/>
      <c r="M24" s="284"/>
      <c r="N24" s="284"/>
      <c r="O24" s="284">
        <f t="shared" si="0"/>
        <v>0</v>
      </c>
      <c r="P24" s="507"/>
      <c r="Q24" s="282" t="s">
        <v>428</v>
      </c>
      <c r="R24" s="10"/>
    </row>
    <row r="25" spans="1:18" s="2" customFormat="1" ht="57.75" customHeight="1" outlineLevel="1" x14ac:dyDescent="0.25">
      <c r="A25" s="498">
        <v>11</v>
      </c>
      <c r="B25" s="499" t="s">
        <v>27</v>
      </c>
      <c r="C25" s="500" t="s">
        <v>24</v>
      </c>
      <c r="D25" s="555" t="s">
        <v>25</v>
      </c>
      <c r="E25" s="549" t="s">
        <v>448</v>
      </c>
      <c r="F25" s="368" t="s">
        <v>430</v>
      </c>
      <c r="G25" s="501" t="s">
        <v>28</v>
      </c>
      <c r="H25" s="555" t="s">
        <v>92</v>
      </c>
      <c r="I25" s="503" t="s">
        <v>216</v>
      </c>
      <c r="J25" s="504">
        <v>13988153</v>
      </c>
      <c r="K25" s="284">
        <v>8262785.6411363389</v>
      </c>
      <c r="L25" s="556">
        <v>3.1399999999999997E-2</v>
      </c>
      <c r="M25" s="284">
        <f>1430873.60020494+107795234.9/520.68+109739226/530.07+105995907.4/511.99+105780752.2/510.95</f>
        <v>2258984.1004025689</v>
      </c>
      <c r="N25" s="284">
        <f>1219413.93+55848657.5/520.68+55104222/530.07+51579050.2/511.99+49822785.6/510.95</f>
        <v>1628883.8301780142</v>
      </c>
      <c r="O25" s="284">
        <f t="shared" si="0"/>
        <v>6003801.5407337695</v>
      </c>
      <c r="P25" s="500" t="s">
        <v>31</v>
      </c>
      <c r="Q25" s="369" t="s">
        <v>428</v>
      </c>
      <c r="R25" s="10"/>
    </row>
    <row r="26" spans="1:18" s="2" customFormat="1" ht="59.25" customHeight="1" outlineLevel="1" x14ac:dyDescent="0.25">
      <c r="A26" s="506"/>
      <c r="B26" s="499" t="s">
        <v>27</v>
      </c>
      <c r="C26" s="560"/>
      <c r="D26" s="561"/>
      <c r="E26" s="549"/>
      <c r="F26" s="368" t="s">
        <v>431</v>
      </c>
      <c r="G26" s="508"/>
      <c r="H26" s="557"/>
      <c r="I26" s="368" t="s">
        <v>51</v>
      </c>
      <c r="J26" s="510"/>
      <c r="K26" s="284">
        <v>1194787815</v>
      </c>
      <c r="L26" s="556">
        <v>3.1399999999999997E-2</v>
      </c>
      <c r="M26" s="284">
        <f>209123295.3+29868621.8+29868621.8+29868621.8+29868621.8</f>
        <v>328597782.50000006</v>
      </c>
      <c r="N26" s="284">
        <f>177460224.6+15474933+14998180+14534453+14068120.9</f>
        <v>236535911.5</v>
      </c>
      <c r="O26" s="284">
        <f t="shared" si="0"/>
        <v>866190032.5</v>
      </c>
      <c r="P26" s="507"/>
      <c r="Q26" s="369" t="s">
        <v>428</v>
      </c>
      <c r="R26" s="10"/>
    </row>
    <row r="27" spans="1:18" s="2" customFormat="1" ht="51.75" customHeight="1" outlineLevel="1" x14ac:dyDescent="0.25">
      <c r="A27" s="498">
        <v>12</v>
      </c>
      <c r="B27" s="499" t="s">
        <v>16</v>
      </c>
      <c r="C27" s="560"/>
      <c r="D27" s="561"/>
      <c r="E27" s="549"/>
      <c r="F27" s="368" t="s">
        <v>430</v>
      </c>
      <c r="G27" s="501" t="s">
        <v>29</v>
      </c>
      <c r="H27" s="555" t="s">
        <v>92</v>
      </c>
      <c r="I27" s="503" t="s">
        <v>216</v>
      </c>
      <c r="J27" s="504">
        <v>10098535</v>
      </c>
      <c r="K27" s="284">
        <v>10121386.37101347</v>
      </c>
      <c r="L27" s="556">
        <v>3.1399999999999997E-2</v>
      </c>
      <c r="M27" s="284">
        <f>1520990.1+136750579/520.29+138244588/530.59+133398381/511.99+133127359/510.95</f>
        <v>2565471.7050314122</v>
      </c>
      <c r="N27" s="284">
        <f>832426.027338+83294453/525+70252782/520.29+69454072/530.59+64924992/511.99+62703018/510.95</f>
        <v>1506535.6319686701</v>
      </c>
      <c r="O27" s="284">
        <f t="shared" si="0"/>
        <v>7555914.6659820583</v>
      </c>
      <c r="P27" s="500" t="s">
        <v>31</v>
      </c>
      <c r="Q27" s="369" t="s">
        <v>428</v>
      </c>
      <c r="R27" s="10"/>
    </row>
    <row r="28" spans="1:18" s="2" customFormat="1" ht="47.25" customHeight="1" outlineLevel="1" x14ac:dyDescent="0.25">
      <c r="A28" s="506"/>
      <c r="B28" s="499" t="s">
        <v>16</v>
      </c>
      <c r="C28" s="507"/>
      <c r="D28" s="557"/>
      <c r="E28" s="549"/>
      <c r="F28" s="368" t="s">
        <v>431</v>
      </c>
      <c r="G28" s="508"/>
      <c r="H28" s="557"/>
      <c r="I28" s="368" t="s">
        <v>51</v>
      </c>
      <c r="J28" s="510"/>
      <c r="K28" s="284">
        <v>794162455.89999998</v>
      </c>
      <c r="L28" s="556">
        <v>3.1399999999999997E-2</v>
      </c>
      <c r="M28" s="284">
        <f>123592049.7+20623615+20310837+20310837+20310838</f>
        <v>205148176.69999999</v>
      </c>
      <c r="N28" s="284">
        <f>78534680.8+10527955+10204165+9885285+9566405</f>
        <v>118718490.8</v>
      </c>
      <c r="O28" s="284">
        <f t="shared" si="0"/>
        <v>589014279.20000005</v>
      </c>
      <c r="P28" s="507"/>
      <c r="Q28" s="369" t="s">
        <v>428</v>
      </c>
      <c r="R28" s="10"/>
    </row>
    <row r="29" spans="1:18" s="2" customFormat="1" ht="48" customHeight="1" outlineLevel="1" x14ac:dyDescent="0.25">
      <c r="A29" s="225">
        <v>13</v>
      </c>
      <c r="B29" s="495" t="s">
        <v>27</v>
      </c>
      <c r="C29" s="500" t="s">
        <v>42</v>
      </c>
      <c r="D29" s="555" t="s">
        <v>43</v>
      </c>
      <c r="E29" s="554" t="s">
        <v>449</v>
      </c>
      <c r="F29" s="368" t="s">
        <v>430</v>
      </c>
      <c r="G29" s="552" t="s">
        <v>44</v>
      </c>
      <c r="H29" s="368" t="s">
        <v>86</v>
      </c>
      <c r="I29" s="503" t="s">
        <v>26</v>
      </c>
      <c r="J29" s="284">
        <v>19600000</v>
      </c>
      <c r="K29" s="284">
        <v>19419334.870000001</v>
      </c>
      <c r="L29" s="565">
        <v>5.0000000000000001E-3</v>
      </c>
      <c r="M29" s="284">
        <f>9716960.66852489+189584407.5/488.5+172026989.7/443.26+153375144/395.2+150045288.9/386.62+156421689.8/403.05+150324717.3/387.34+155746404.5/401.31</f>
        <v>12433625.668773536</v>
      </c>
      <c r="N29" s="284">
        <f>1129921.93024286+16077756.3/488.5+14096288.6/443.26+12233850.7/395.2+11546870.2/386.62+11574265.9/403.05+10860006.5/387.34+10861254.5/401.31</f>
        <v>1339276.7301463305</v>
      </c>
      <c r="O29" s="284">
        <f t="shared" si="0"/>
        <v>6985709.2012264654</v>
      </c>
      <c r="P29" s="291" t="s">
        <v>31</v>
      </c>
      <c r="Q29" s="369" t="s">
        <v>428</v>
      </c>
      <c r="R29" s="10"/>
    </row>
    <row r="30" spans="1:18" s="2" customFormat="1" ht="60" customHeight="1" outlineLevel="1" x14ac:dyDescent="0.25">
      <c r="A30" s="225">
        <v>14</v>
      </c>
      <c r="B30" s="495" t="s">
        <v>16</v>
      </c>
      <c r="C30" s="507"/>
      <c r="D30" s="557"/>
      <c r="E30" s="545"/>
      <c r="F30" s="368" t="s">
        <v>430</v>
      </c>
      <c r="G30" s="552" t="s">
        <v>45</v>
      </c>
      <c r="H30" s="368" t="s">
        <v>87</v>
      </c>
      <c r="I30" s="503" t="s">
        <v>26</v>
      </c>
      <c r="J30" s="284">
        <v>297276.53999999998</v>
      </c>
      <c r="K30" s="284">
        <v>297276.53999999998</v>
      </c>
      <c r="L30" s="290" t="s">
        <v>125</v>
      </c>
      <c r="M30" s="284">
        <f>257638.543537781+4361667/440.15+3916234/395.2+3837157/387.22+3994520/403.1</f>
        <v>297276.54625526333</v>
      </c>
      <c r="N30" s="284">
        <f>229541.53251276+1912186/489.99+1556591/440.15+1259898/395.2+1094284/387.22+991707/403.1</f>
        <v>245454.73643449965</v>
      </c>
      <c r="O30" s="284">
        <f t="shared" si="0"/>
        <v>-6.255263346247375E-3</v>
      </c>
      <c r="P30" s="291" t="s">
        <v>31</v>
      </c>
      <c r="Q30" s="369" t="s">
        <v>428</v>
      </c>
      <c r="R30" s="10"/>
    </row>
    <row r="31" spans="1:18" s="2" customFormat="1" ht="51" customHeight="1" outlineLevel="1" x14ac:dyDescent="0.25">
      <c r="A31" s="225">
        <v>15</v>
      </c>
      <c r="B31" s="495" t="s">
        <v>16</v>
      </c>
      <c r="C31" s="566" t="s">
        <v>17</v>
      </c>
      <c r="D31" s="555" t="s">
        <v>65</v>
      </c>
      <c r="E31" s="554" t="s">
        <v>453</v>
      </c>
      <c r="F31" s="368" t="s">
        <v>430</v>
      </c>
      <c r="G31" s="552" t="s">
        <v>21</v>
      </c>
      <c r="H31" s="368" t="s">
        <v>93</v>
      </c>
      <c r="I31" s="368" t="s">
        <v>18</v>
      </c>
      <c r="J31" s="284">
        <v>1571940173.3299999</v>
      </c>
      <c r="K31" s="284">
        <v>1598519063</v>
      </c>
      <c r="L31" s="565">
        <v>1.7999999999999999E-2</v>
      </c>
      <c r="M31" s="284">
        <f>1030178646.5+123394332/3.026+109815247/2.693+110426917/2.708+107613234/2.639</f>
        <v>1193290784.6071591</v>
      </c>
      <c r="N31" s="284">
        <f>226837831.925937+13873556/3.026+11211247/2.693+10505503/2.708+9205948/2.639</f>
        <v>242953578.05287489</v>
      </c>
      <c r="O31" s="284">
        <f t="shared" si="0"/>
        <v>405228278.39284086</v>
      </c>
      <c r="P31" s="291" t="s">
        <v>31</v>
      </c>
      <c r="Q31" s="369" t="s">
        <v>428</v>
      </c>
      <c r="R31" s="10"/>
    </row>
    <row r="32" spans="1:18" s="2" customFormat="1" ht="41.25" customHeight="1" outlineLevel="1" x14ac:dyDescent="0.25">
      <c r="A32" s="225">
        <v>16</v>
      </c>
      <c r="B32" s="282" t="s">
        <v>2</v>
      </c>
      <c r="C32" s="567"/>
      <c r="D32" s="557"/>
      <c r="E32" s="545"/>
      <c r="F32" s="368" t="s">
        <v>430</v>
      </c>
      <c r="G32" s="552" t="s">
        <v>23</v>
      </c>
      <c r="H32" s="368" t="s">
        <v>93</v>
      </c>
      <c r="I32" s="368" t="s">
        <v>18</v>
      </c>
      <c r="J32" s="284">
        <v>3796371795.6700001</v>
      </c>
      <c r="K32" s="284">
        <v>3861444249</v>
      </c>
      <c r="L32" s="565">
        <v>1.7999999999999999E-2</v>
      </c>
      <c r="M32" s="284">
        <f>2513837447.56+291897058.6/3.026+259774877.3/2.693+261800600/2.714+254469412/2.638</f>
        <v>2899689474.61869</v>
      </c>
      <c r="N32" s="284">
        <f>553224853.256799+32762341/3.026+26475306.9/2.693+24863667/2.714+21767387/2.638</f>
        <v>591295693.63595247</v>
      </c>
      <c r="O32" s="284">
        <f t="shared" si="0"/>
        <v>961754774.38130999</v>
      </c>
      <c r="P32" s="291" t="s">
        <v>31</v>
      </c>
      <c r="Q32" s="369" t="s">
        <v>428</v>
      </c>
      <c r="R32" s="10"/>
    </row>
    <row r="33" spans="1:19" s="2" customFormat="1" ht="69" customHeight="1" outlineLevel="1" x14ac:dyDescent="0.25">
      <c r="A33" s="498">
        <v>17</v>
      </c>
      <c r="B33" s="566" t="s">
        <v>88</v>
      </c>
      <c r="C33" s="500" t="s">
        <v>456</v>
      </c>
      <c r="D33" s="555" t="s">
        <v>43</v>
      </c>
      <c r="E33" s="554" t="s">
        <v>455</v>
      </c>
      <c r="F33" s="368" t="s">
        <v>430</v>
      </c>
      <c r="G33" s="501" t="s">
        <v>70</v>
      </c>
      <c r="H33" s="555" t="s">
        <v>89</v>
      </c>
      <c r="I33" s="503" t="s">
        <v>26</v>
      </c>
      <c r="J33" s="284">
        <v>4846628.13</v>
      </c>
      <c r="K33" s="284">
        <v>4737831.22</v>
      </c>
      <c r="L33" s="290">
        <v>7.4999999999999997E-3</v>
      </c>
      <c r="M33" s="284">
        <f>616176.07+18729201/386.44+19508050/402.51+18791723/387.73+18767489/387.23</f>
        <v>810040.07239122433</v>
      </c>
      <c r="N33" s="284">
        <f>353441.51+5923430/386.44+6198654/402.51+5835491.6/387.73+5820648/387.23</f>
        <v>414251.61169354402</v>
      </c>
      <c r="O33" s="284">
        <f t="shared" si="0"/>
        <v>3927791.1476087756</v>
      </c>
      <c r="P33" s="291" t="s">
        <v>111</v>
      </c>
      <c r="Q33" s="369" t="s">
        <v>428</v>
      </c>
      <c r="R33" s="10"/>
    </row>
    <row r="34" spans="1:19" s="2" customFormat="1" ht="69" customHeight="1" outlineLevel="1" x14ac:dyDescent="0.25">
      <c r="A34" s="506"/>
      <c r="B34" s="567"/>
      <c r="C34" s="507"/>
      <c r="D34" s="557"/>
      <c r="E34" s="545"/>
      <c r="F34" s="368" t="s">
        <v>431</v>
      </c>
      <c r="G34" s="508"/>
      <c r="H34" s="557"/>
      <c r="I34" s="368" t="s">
        <v>51</v>
      </c>
      <c r="J34" s="284">
        <v>1740568345.9000001</v>
      </c>
      <c r="K34" s="284">
        <v>1740568345.9000001</v>
      </c>
      <c r="L34" s="290">
        <v>7.4999999999999997E-3</v>
      </c>
      <c r="M34" s="284">
        <f>247100359+17402579+17402579+17402579+17402579</f>
        <v>316710675</v>
      </c>
      <c r="N34" s="284">
        <f>128165336.87+5554115.8+5580740.4+5454641.8+5448433.2</f>
        <v>150203268.06999999</v>
      </c>
      <c r="O34" s="284">
        <f t="shared" si="0"/>
        <v>1423857670.9000001</v>
      </c>
      <c r="P34" s="291" t="s">
        <v>111</v>
      </c>
      <c r="Q34" s="369" t="s">
        <v>428</v>
      </c>
      <c r="R34" s="10"/>
    </row>
    <row r="35" spans="1:19" ht="87" customHeight="1" outlineLevel="1" x14ac:dyDescent="0.25">
      <c r="A35" s="225">
        <v>18</v>
      </c>
      <c r="B35" s="495" t="s">
        <v>1</v>
      </c>
      <c r="C35" s="282" t="s">
        <v>59</v>
      </c>
      <c r="D35" s="368" t="s">
        <v>61</v>
      </c>
      <c r="E35" s="552" t="s">
        <v>451</v>
      </c>
      <c r="F35" s="368" t="s">
        <v>430</v>
      </c>
      <c r="G35" s="552" t="s">
        <v>58</v>
      </c>
      <c r="H35" s="552" t="s">
        <v>85</v>
      </c>
      <c r="I35" s="503" t="s">
        <v>30</v>
      </c>
      <c r="J35" s="568">
        <v>17895215.550000001</v>
      </c>
      <c r="K35" s="284">
        <v>17895215.550000001</v>
      </c>
      <c r="L35" s="290">
        <v>7.4999999999999997E-3</v>
      </c>
      <c r="M35" s="284">
        <v>9004359.9040168226</v>
      </c>
      <c r="N35" s="284">
        <f>2568161.28+12471869/415.04+3320320/414.34+16171473.8/438.74+15002335.6/420.29+14025433/406.4</f>
        <v>2713290.0956009617</v>
      </c>
      <c r="O35" s="284">
        <f t="shared" si="0"/>
        <v>8890855.6459831782</v>
      </c>
      <c r="P35" s="291" t="s">
        <v>31</v>
      </c>
      <c r="Q35" s="369" t="s">
        <v>428</v>
      </c>
      <c r="R35" s="10"/>
      <c r="S35" s="2"/>
    </row>
    <row r="36" spans="1:19" ht="55.5" customHeight="1" outlineLevel="1" x14ac:dyDescent="0.25">
      <c r="A36" s="498">
        <v>19</v>
      </c>
      <c r="B36" s="499" t="s">
        <v>210</v>
      </c>
      <c r="C36" s="500" t="s">
        <v>137</v>
      </c>
      <c r="D36" s="500" t="s">
        <v>147</v>
      </c>
      <c r="E36" s="500" t="s">
        <v>450</v>
      </c>
      <c r="F36" s="282" t="s">
        <v>430</v>
      </c>
      <c r="G36" s="500" t="s">
        <v>211</v>
      </c>
      <c r="H36" s="282" t="s">
        <v>235</v>
      </c>
      <c r="I36" s="503" t="s">
        <v>30</v>
      </c>
      <c r="J36" s="569">
        <v>22000000</v>
      </c>
      <c r="K36" s="284">
        <v>21247150.510000002</v>
      </c>
      <c r="L36" s="570" t="s">
        <v>138</v>
      </c>
      <c r="M36" s="284">
        <f>1047000+1047000+1047000+1047000+1047000+1047000+1047000+1047000+1048000</f>
        <v>9424000</v>
      </c>
      <c r="N36" s="284">
        <f>2375876.3+237670.2+221556.87</f>
        <v>2835103.37</v>
      </c>
      <c r="O36" s="284">
        <f>J36-M36</f>
        <v>12576000</v>
      </c>
      <c r="P36" s="500" t="s">
        <v>403</v>
      </c>
      <c r="Q36" s="369" t="s">
        <v>428</v>
      </c>
      <c r="R36" s="10"/>
      <c r="S36" s="2"/>
    </row>
    <row r="37" spans="1:19" ht="68.25" customHeight="1" outlineLevel="1" x14ac:dyDescent="0.25">
      <c r="A37" s="542"/>
      <c r="B37" s="499" t="s">
        <v>210</v>
      </c>
      <c r="C37" s="560"/>
      <c r="D37" s="560"/>
      <c r="E37" s="560"/>
      <c r="F37" s="282" t="s">
        <v>430</v>
      </c>
      <c r="G37" s="560"/>
      <c r="H37" s="282" t="s">
        <v>237</v>
      </c>
      <c r="I37" s="503" t="s">
        <v>30</v>
      </c>
      <c r="J37" s="569">
        <v>14500000</v>
      </c>
      <c r="K37" s="284">
        <v>14491281.059999999</v>
      </c>
      <c r="L37" s="570" t="s">
        <v>97</v>
      </c>
      <c r="M37" s="284">
        <f>241000+241000+241000+241000+241000+241000+241000+241000+241000</f>
        <v>2169000</v>
      </c>
      <c r="N37" s="284">
        <f>628643.7+48048.75+47190.19</f>
        <v>723882.6399999999</v>
      </c>
      <c r="O37" s="284">
        <f>J37-M37</f>
        <v>12331000</v>
      </c>
      <c r="P37" s="560"/>
      <c r="Q37" s="369" t="s">
        <v>428</v>
      </c>
      <c r="R37" s="10"/>
      <c r="S37" s="2"/>
    </row>
    <row r="38" spans="1:19" ht="62.25" customHeight="1" outlineLevel="1" x14ac:dyDescent="0.25">
      <c r="A38" s="506"/>
      <c r="B38" s="499" t="s">
        <v>210</v>
      </c>
      <c r="C38" s="507"/>
      <c r="D38" s="507"/>
      <c r="E38" s="507"/>
      <c r="F38" s="282" t="s">
        <v>430</v>
      </c>
      <c r="G38" s="507"/>
      <c r="H38" s="282" t="s">
        <v>236</v>
      </c>
      <c r="I38" s="503" t="s">
        <v>30</v>
      </c>
      <c r="J38" s="569">
        <v>14500000</v>
      </c>
      <c r="K38" s="284">
        <v>14500000.000000002</v>
      </c>
      <c r="L38" s="570" t="s">
        <v>139</v>
      </c>
      <c r="M38" s="284">
        <f>2519999.6+630000+630000+630000+630000+630000</f>
        <v>5669999.5999999996</v>
      </c>
      <c r="N38" s="284">
        <f>2336020+207340.05+195524.74</f>
        <v>2738884.79</v>
      </c>
      <c r="O38" s="284">
        <f>J38-M38</f>
        <v>8830000.4000000004</v>
      </c>
      <c r="P38" s="507"/>
      <c r="Q38" s="369" t="s">
        <v>428</v>
      </c>
      <c r="R38" s="10"/>
      <c r="S38" s="2"/>
    </row>
    <row r="39" spans="1:19" ht="94.5" customHeight="1" outlineLevel="1" x14ac:dyDescent="0.25">
      <c r="A39" s="225">
        <v>20</v>
      </c>
      <c r="B39" s="282" t="s">
        <v>71</v>
      </c>
      <c r="C39" s="495" t="s">
        <v>72</v>
      </c>
      <c r="D39" s="368" t="s">
        <v>65</v>
      </c>
      <c r="E39" s="368" t="s">
        <v>452</v>
      </c>
      <c r="F39" s="368" t="s">
        <v>430</v>
      </c>
      <c r="G39" s="552" t="s">
        <v>73</v>
      </c>
      <c r="H39" s="368" t="s">
        <v>94</v>
      </c>
      <c r="I39" s="368" t="s">
        <v>18</v>
      </c>
      <c r="J39" s="571">
        <v>26409000000</v>
      </c>
      <c r="K39" s="284">
        <v>26399286331</v>
      </c>
      <c r="L39" s="290">
        <v>7.4999999999999997E-3</v>
      </c>
      <c r="M39" s="284">
        <f>7357230331.16835+1131704010/2.615+1153775484/2.666+(500000000+500000000+175414184)/2.716</f>
        <v>8655552331.1683502</v>
      </c>
      <c r="N39" s="284">
        <f>2607354309.06995+188428717.2/2.615+185536580.8/2.666+186649331.7/2.716</f>
        <v>2817726935.8973589</v>
      </c>
      <c r="O39" s="286">
        <f t="shared" ref="O39:O50" si="1">K39-M39</f>
        <v>17743733999.83165</v>
      </c>
      <c r="P39" s="291" t="s">
        <v>126</v>
      </c>
      <c r="Q39" s="369" t="s">
        <v>428</v>
      </c>
      <c r="R39" s="10"/>
      <c r="S39" s="2"/>
    </row>
    <row r="40" spans="1:19" ht="86.25" customHeight="1" outlineLevel="1" x14ac:dyDescent="0.25">
      <c r="A40" s="225">
        <v>21</v>
      </c>
      <c r="B40" s="495" t="s">
        <v>27</v>
      </c>
      <c r="C40" s="282" t="s">
        <v>130</v>
      </c>
      <c r="D40" s="282" t="s">
        <v>106</v>
      </c>
      <c r="E40" s="282" t="s">
        <v>454</v>
      </c>
      <c r="F40" s="282" t="s">
        <v>430</v>
      </c>
      <c r="G40" s="552" t="s">
        <v>32</v>
      </c>
      <c r="H40" s="368" t="s">
        <v>95</v>
      </c>
      <c r="I40" s="503" t="s">
        <v>26</v>
      </c>
      <c r="J40" s="284">
        <v>8988290</v>
      </c>
      <c r="K40" s="284">
        <v>8988290</v>
      </c>
      <c r="L40" s="565">
        <v>5.0000000000000001E-3</v>
      </c>
      <c r="M40" s="284">
        <f>4199999.97+600000+600000+289644000/482.74+290820000/484.7+286458000/477.43+600000+600000+231939215.4/394.26</f>
        <v>8988289.9699999988</v>
      </c>
      <c r="N40" s="284">
        <f>838542.942447016+522591.6/394.26</f>
        <v>839868.44237092405</v>
      </c>
      <c r="O40" s="286">
        <f t="shared" si="1"/>
        <v>3.0000001192092896E-2</v>
      </c>
      <c r="P40" s="291" t="s">
        <v>111</v>
      </c>
      <c r="Q40" s="369" t="s">
        <v>428</v>
      </c>
      <c r="R40" s="10"/>
      <c r="S40" s="2"/>
    </row>
    <row r="41" spans="1:19" ht="86.25" customHeight="1" outlineLevel="1" x14ac:dyDescent="0.25">
      <c r="A41" s="225"/>
      <c r="B41" s="566" t="s">
        <v>27</v>
      </c>
      <c r="C41" s="282"/>
      <c r="D41" s="282"/>
      <c r="E41" s="572" t="s">
        <v>470</v>
      </c>
      <c r="F41" s="500" t="s">
        <v>405</v>
      </c>
      <c r="G41" s="552"/>
      <c r="H41" s="368" t="s">
        <v>471</v>
      </c>
      <c r="I41" s="283" t="s">
        <v>51</v>
      </c>
      <c r="J41" s="504">
        <v>1035000000</v>
      </c>
      <c r="K41" s="510">
        <f>1035000000-80500000</f>
        <v>954500000</v>
      </c>
      <c r="L41" s="573">
        <v>9.8613000000000006E-2</v>
      </c>
      <c r="M41" s="284"/>
      <c r="N41" s="284"/>
      <c r="O41" s="286">
        <f t="shared" si="1"/>
        <v>954500000</v>
      </c>
      <c r="P41" s="291" t="s">
        <v>111</v>
      </c>
      <c r="Q41" s="369" t="s">
        <v>428</v>
      </c>
      <c r="R41" s="10"/>
      <c r="S41" s="2"/>
    </row>
    <row r="42" spans="1:19" ht="86.25" customHeight="1" outlineLevel="1" x14ac:dyDescent="0.25">
      <c r="A42" s="225"/>
      <c r="B42" s="567"/>
      <c r="C42" s="282"/>
      <c r="D42" s="282"/>
      <c r="E42" s="574"/>
      <c r="F42" s="507"/>
      <c r="G42" s="552"/>
      <c r="H42" s="368"/>
      <c r="I42" s="283" t="s">
        <v>51</v>
      </c>
      <c r="J42" s="510">
        <v>1035000000</v>
      </c>
      <c r="K42" s="510"/>
      <c r="L42" s="565"/>
      <c r="M42" s="284"/>
      <c r="N42" s="284"/>
      <c r="O42" s="286">
        <f t="shared" si="1"/>
        <v>0</v>
      </c>
      <c r="P42" s="291" t="s">
        <v>111</v>
      </c>
      <c r="Q42" s="369" t="s">
        <v>428</v>
      </c>
      <c r="R42" s="10"/>
      <c r="S42" s="2"/>
    </row>
    <row r="43" spans="1:19" ht="73.5" customHeight="1" outlineLevel="1" x14ac:dyDescent="0.25">
      <c r="A43" s="225">
        <v>22</v>
      </c>
      <c r="B43" s="495" t="s">
        <v>0</v>
      </c>
      <c r="C43" s="282" t="s">
        <v>130</v>
      </c>
      <c r="D43" s="282" t="s">
        <v>9</v>
      </c>
      <c r="E43" s="282" t="s">
        <v>457</v>
      </c>
      <c r="F43" s="282" t="s">
        <v>430</v>
      </c>
      <c r="G43" s="496" t="s">
        <v>12</v>
      </c>
      <c r="H43" s="284" t="s">
        <v>96</v>
      </c>
      <c r="I43" s="497" t="s">
        <v>51</v>
      </c>
      <c r="J43" s="284">
        <v>1757100000</v>
      </c>
      <c r="K43" s="284">
        <v>1757100000</v>
      </c>
      <c r="L43" s="290">
        <v>7.4999999999999997E-3</v>
      </c>
      <c r="M43" s="284">
        <f>439275000+62753571.5+62753571.5+62753571.3+62753571.4+62753571.4+62753571.4+62753571.5+62753571.5+62753571.5+62753571.3</f>
        <v>1066810714.2999998</v>
      </c>
      <c r="N43" s="284">
        <f>303383430.5+3313904.4+3032802.7+3076644.3+2814884.5+2839384.2</f>
        <v>318461050.59999996</v>
      </c>
      <c r="O43" s="286">
        <f t="shared" si="1"/>
        <v>690289285.70000017</v>
      </c>
      <c r="P43" s="291" t="s">
        <v>111</v>
      </c>
      <c r="Q43" s="369" t="s">
        <v>428</v>
      </c>
      <c r="R43" s="10"/>
      <c r="S43" s="2"/>
    </row>
    <row r="44" spans="1:19" ht="82.5" customHeight="1" outlineLevel="1" x14ac:dyDescent="0.25">
      <c r="A44" s="575">
        <v>23</v>
      </c>
      <c r="B44" s="495" t="s">
        <v>0</v>
      </c>
      <c r="C44" s="282" t="s">
        <v>243</v>
      </c>
      <c r="D44" s="282" t="s">
        <v>414</v>
      </c>
      <c r="E44" s="496" t="s">
        <v>441</v>
      </c>
      <c r="F44" s="282" t="s">
        <v>405</v>
      </c>
      <c r="G44" s="496"/>
      <c r="H44" s="284" t="s">
        <v>336</v>
      </c>
      <c r="I44" s="497" t="s">
        <v>51</v>
      </c>
      <c r="J44" s="284">
        <v>18700000000</v>
      </c>
      <c r="K44" s="284">
        <v>18700000000</v>
      </c>
      <c r="L44" s="556">
        <v>7.4999999999999997E-2</v>
      </c>
      <c r="M44" s="284">
        <f>890476190.5+890476190.5+890476190.5+890476190.5+890476190.5+890476190.5</f>
        <v>5342857143</v>
      </c>
      <c r="N44" s="284">
        <f>1333335616.4+703171232.9+699328767.1+670052837.5+632909002+602718199.6+569233855.2+535749511</f>
        <v>5746499021.6999998</v>
      </c>
      <c r="O44" s="286">
        <f>K44-M44</f>
        <v>13357142857</v>
      </c>
      <c r="P44" s="291" t="s">
        <v>111</v>
      </c>
      <c r="Q44" s="369" t="s">
        <v>428</v>
      </c>
      <c r="R44" s="10"/>
      <c r="S44" s="2"/>
    </row>
    <row r="45" spans="1:19" ht="63.75" customHeight="1" outlineLevel="1" x14ac:dyDescent="0.25">
      <c r="A45" s="575">
        <v>24</v>
      </c>
      <c r="B45" s="495" t="s">
        <v>0</v>
      </c>
      <c r="C45" s="553" t="s">
        <v>354</v>
      </c>
      <c r="D45" s="282" t="s">
        <v>414</v>
      </c>
      <c r="E45" s="496" t="s">
        <v>440</v>
      </c>
      <c r="F45" s="282" t="s">
        <v>405</v>
      </c>
      <c r="G45" s="496"/>
      <c r="H45" s="284" t="s">
        <v>355</v>
      </c>
      <c r="I45" s="497" t="s">
        <v>51</v>
      </c>
      <c r="J45" s="284">
        <v>25000000000</v>
      </c>
      <c r="K45" s="284">
        <v>25000000000</v>
      </c>
      <c r="L45" s="556">
        <v>0.09</v>
      </c>
      <c r="M45" s="284">
        <f>1190476190.4+1190476190.5+1190476190.5+1190476190.5</f>
        <v>4761904761.8999996</v>
      </c>
      <c r="N45" s="284">
        <f>1171232876.7+1121917808.3+1128082191.8+1121917808.2+1074363992.2+1020645792.6+966927593</f>
        <v>7605088062.8000002</v>
      </c>
      <c r="O45" s="286">
        <f t="shared" si="1"/>
        <v>20238095238.099998</v>
      </c>
      <c r="P45" s="291" t="s">
        <v>111</v>
      </c>
      <c r="Q45" s="369" t="s">
        <v>428</v>
      </c>
      <c r="R45" s="10"/>
      <c r="S45" s="2"/>
    </row>
    <row r="46" spans="1:19" ht="82.5" customHeight="1" outlineLevel="1" x14ac:dyDescent="0.25">
      <c r="A46" s="575"/>
      <c r="B46" s="495" t="s">
        <v>0</v>
      </c>
      <c r="C46" s="282" t="s">
        <v>473</v>
      </c>
      <c r="D46" s="282" t="s">
        <v>414</v>
      </c>
      <c r="E46" s="496" t="s">
        <v>472</v>
      </c>
      <c r="F46" s="282" t="s">
        <v>405</v>
      </c>
      <c r="G46" s="496"/>
      <c r="H46" s="284" t="s">
        <v>469</v>
      </c>
      <c r="I46" s="497" t="s">
        <v>51</v>
      </c>
      <c r="J46" s="284">
        <v>5965000000</v>
      </c>
      <c r="K46" s="284">
        <v>5965000000</v>
      </c>
      <c r="L46" s="576">
        <v>9.8608000000000001E-2</v>
      </c>
      <c r="M46" s="284"/>
      <c r="N46" s="284">
        <v>24172468</v>
      </c>
      <c r="O46" s="286">
        <f>K46-M46</f>
        <v>5965000000</v>
      </c>
      <c r="P46" s="291" t="s">
        <v>111</v>
      </c>
      <c r="Q46" s="369" t="s">
        <v>428</v>
      </c>
      <c r="R46" s="10"/>
      <c r="S46" s="2"/>
    </row>
    <row r="47" spans="1:19" ht="78.75" customHeight="1" outlineLevel="1" x14ac:dyDescent="0.25">
      <c r="A47" s="498">
        <v>25</v>
      </c>
      <c r="B47" s="499" t="s">
        <v>0</v>
      </c>
      <c r="C47" s="500" t="s">
        <v>140</v>
      </c>
      <c r="D47" s="368" t="s">
        <v>416</v>
      </c>
      <c r="E47" s="500" t="s">
        <v>458</v>
      </c>
      <c r="F47" s="368" t="s">
        <v>430</v>
      </c>
      <c r="G47" s="501" t="s">
        <v>141</v>
      </c>
      <c r="H47" s="502" t="s">
        <v>136</v>
      </c>
      <c r="I47" s="503" t="s">
        <v>26</v>
      </c>
      <c r="J47" s="504">
        <v>270000000</v>
      </c>
      <c r="K47" s="284">
        <v>170663629.05000004</v>
      </c>
      <c r="L47" s="505">
        <v>0.03</v>
      </c>
      <c r="M47" s="284">
        <f>51199088.7002228+3370009369.8/394.93+3295429324.9/386.19+3461143748.2/405.61+3310959715/388.01+(1000000000+1424393078.3+962000000)/396.85</f>
        <v>93864996.000313431</v>
      </c>
      <c r="N47" s="284">
        <f>20309911.275649+723428666.7/394.93+646453366.1/386.19+636850451.3/405.61+552378447/388.01+519246953.2/396.85</f>
        <v>28117772.275609713</v>
      </c>
      <c r="O47" s="286">
        <f t="shared" si="1"/>
        <v>76798633.049686611</v>
      </c>
      <c r="P47" s="500" t="s">
        <v>99</v>
      </c>
      <c r="Q47" s="282" t="s">
        <v>428</v>
      </c>
      <c r="R47" s="10"/>
      <c r="S47" s="2"/>
    </row>
    <row r="48" spans="1:19" ht="71.25" customHeight="1" outlineLevel="1" x14ac:dyDescent="0.25">
      <c r="A48" s="506"/>
      <c r="B48" s="499" t="s">
        <v>0</v>
      </c>
      <c r="C48" s="507"/>
      <c r="D48" s="282" t="s">
        <v>414</v>
      </c>
      <c r="E48" s="507"/>
      <c r="F48" s="282" t="s">
        <v>431</v>
      </c>
      <c r="G48" s="508"/>
      <c r="H48" s="509"/>
      <c r="I48" s="497" t="s">
        <v>51</v>
      </c>
      <c r="J48" s="510">
        <v>1265847400</v>
      </c>
      <c r="K48" s="284">
        <f>9509488626+108542329</f>
        <v>9618030955</v>
      </c>
      <c r="L48" s="505">
        <v>0.03</v>
      </c>
      <c r="M48" s="284">
        <f>2858334735.47632+482835444.3+482835444.2+482835444.3+482835444.2+482835444.3</f>
        <v>5272511956.7763195</v>
      </c>
      <c r="N48" s="284">
        <f>1045375895.11175+103648675.3+94716219.7+88841721.7+80553046.6+74034768.1</f>
        <v>1487170326.51175</v>
      </c>
      <c r="O48" s="286">
        <f t="shared" si="1"/>
        <v>4345518998.2236805</v>
      </c>
      <c r="P48" s="507"/>
      <c r="Q48" s="282" t="s">
        <v>428</v>
      </c>
      <c r="R48" s="10"/>
      <c r="S48" s="2"/>
    </row>
    <row r="49" spans="1:19" ht="79.5" customHeight="1" outlineLevel="1" x14ac:dyDescent="0.25">
      <c r="A49" s="225">
        <v>26</v>
      </c>
      <c r="B49" s="495" t="s">
        <v>0</v>
      </c>
      <c r="C49" s="282" t="s">
        <v>180</v>
      </c>
      <c r="D49" s="555" t="s">
        <v>48</v>
      </c>
      <c r="E49" s="500" t="s">
        <v>459</v>
      </c>
      <c r="F49" s="513" t="s">
        <v>430</v>
      </c>
      <c r="G49" s="577" t="s">
        <v>184</v>
      </c>
      <c r="H49" s="287" t="s">
        <v>182</v>
      </c>
      <c r="I49" s="546" t="s">
        <v>26</v>
      </c>
      <c r="J49" s="504">
        <v>8907500</v>
      </c>
      <c r="K49" s="284">
        <v>8907384.7100000009</v>
      </c>
      <c r="L49" s="556" t="s">
        <v>400</v>
      </c>
      <c r="M49" s="284"/>
      <c r="N49" s="284">
        <f>1241236.45+96159781.6/386.38+118034920.8/403.19+119269571.9/387.69+118214384.3/387.64</f>
        <v>2395463.4501183401</v>
      </c>
      <c r="O49" s="578">
        <f t="shared" si="1"/>
        <v>8907384.7100000009</v>
      </c>
      <c r="P49" s="288" t="s">
        <v>185</v>
      </c>
      <c r="Q49" s="370" t="s">
        <v>428</v>
      </c>
      <c r="R49" s="10"/>
      <c r="S49" s="2"/>
    </row>
    <row r="50" spans="1:19" ht="116.25" customHeight="1" outlineLevel="1" thickBot="1" x14ac:dyDescent="0.3">
      <c r="A50" s="225">
        <v>27</v>
      </c>
      <c r="B50" s="367" t="s">
        <v>71</v>
      </c>
      <c r="C50" s="579" t="s">
        <v>180</v>
      </c>
      <c r="D50" s="580"/>
      <c r="E50" s="507"/>
      <c r="F50" s="513" t="s">
        <v>430</v>
      </c>
      <c r="G50" s="577" t="s">
        <v>181</v>
      </c>
      <c r="H50" s="581" t="s">
        <v>182</v>
      </c>
      <c r="I50" s="582" t="s">
        <v>26</v>
      </c>
      <c r="J50" s="583">
        <v>21092500</v>
      </c>
      <c r="K50" s="284">
        <v>21092210.790000003</v>
      </c>
      <c r="L50" s="584" t="s">
        <v>400</v>
      </c>
      <c r="M50" s="284"/>
      <c r="N50" s="284">
        <f>3081286.01+227668040/386.38+279535083/403.19+282423985/387.69+(79661738.3+200263572)/387.64</f>
        <v>5814433.9830596093</v>
      </c>
      <c r="O50" s="585">
        <f t="shared" si="1"/>
        <v>21092210.790000003</v>
      </c>
      <c r="P50" s="288" t="s">
        <v>183</v>
      </c>
      <c r="Q50" s="586" t="s">
        <v>428</v>
      </c>
      <c r="R50" s="10"/>
      <c r="S50" s="2"/>
    </row>
    <row r="51" spans="1:19" s="594" customFormat="1" ht="15" customHeight="1" x14ac:dyDescent="0.25">
      <c r="A51" s="587" t="s">
        <v>158</v>
      </c>
      <c r="B51" s="588"/>
      <c r="C51" s="589"/>
      <c r="D51" s="590"/>
      <c r="E51" s="590"/>
      <c r="F51" s="590"/>
      <c r="G51" s="590"/>
      <c r="H51" s="590"/>
      <c r="I51" s="590" t="s">
        <v>30</v>
      </c>
      <c r="J51" s="591">
        <f>SUMIF($I$5:$I$50,I51,$J$5:$J$50)</f>
        <v>275755742.28000003</v>
      </c>
      <c r="K51" s="591">
        <f>SUMIF($I$5:$I$50,I51,$K$5:$K$50)</f>
        <v>98145203.770000011</v>
      </c>
      <c r="L51" s="591"/>
      <c r="M51" s="591">
        <f>SUMIF($I$5:$I$50,I51,$M$5:$M$50)</f>
        <v>42494307.343892485</v>
      </c>
      <c r="N51" s="591">
        <f>SUMIF($I$5:$I$50,I51,$N$5:$N$50)</f>
        <v>18094860.897632036</v>
      </c>
      <c r="O51" s="591">
        <f>SUMIF($I$5:$I$50,I51,$O$5:$O$50)</f>
        <v>56412464.856107518</v>
      </c>
      <c r="P51" s="592"/>
      <c r="Q51" s="593"/>
      <c r="R51" s="10"/>
      <c r="S51" s="2"/>
    </row>
    <row r="52" spans="1:19" s="594" customFormat="1" ht="15" customHeight="1" x14ac:dyDescent="0.25">
      <c r="A52" s="595"/>
      <c r="B52" s="596"/>
      <c r="C52" s="597"/>
      <c r="D52" s="598"/>
      <c r="E52" s="598"/>
      <c r="F52" s="598"/>
      <c r="G52" s="598"/>
      <c r="H52" s="598"/>
      <c r="I52" s="598" t="s">
        <v>51</v>
      </c>
      <c r="J52" s="599">
        <f>SUMIF($I$5:$I$50,I52,$J$5:$J$50)</f>
        <v>56498515745.900002</v>
      </c>
      <c r="K52" s="599">
        <f>SUMIF($I$5:$I$50,I52,$K$5:$K$50)</f>
        <v>74936560960.600006</v>
      </c>
      <c r="L52" s="599"/>
      <c r="M52" s="599">
        <f>SUMIF($I$5:$I$50,I52,$M$5:$M$50)</f>
        <v>18304717206.476318</v>
      </c>
      <c r="N52" s="599">
        <f>SUMIF($I$5:$I$50,I52,$N$5:$N$50)</f>
        <v>17959525133.921749</v>
      </c>
      <c r="O52" s="599">
        <f>SUMIF($I$5:$I$50,I52,$O$5:$O$50)</f>
        <v>56631843754.12368</v>
      </c>
      <c r="P52" s="600"/>
      <c r="Q52" s="601"/>
      <c r="R52" s="10"/>
      <c r="S52" s="2"/>
    </row>
    <row r="53" spans="1:19" s="594" customFormat="1" ht="15" customHeight="1" x14ac:dyDescent="0.25">
      <c r="A53" s="595"/>
      <c r="B53" s="596"/>
      <c r="C53" s="597"/>
      <c r="D53" s="598"/>
      <c r="E53" s="598"/>
      <c r="F53" s="598"/>
      <c r="G53" s="598"/>
      <c r="H53" s="598"/>
      <c r="I53" s="598" t="s">
        <v>26</v>
      </c>
      <c r="J53" s="599">
        <f>SUMIF($I$5:$I$50,I53,$J$5:$J$50)</f>
        <v>483654882.94</v>
      </c>
      <c r="K53" s="599">
        <f>SUMIF($I$5:$I$50,I53,$K$5:$K$50)</f>
        <v>326751970.51000005</v>
      </c>
      <c r="L53" s="599"/>
      <c r="M53" s="599">
        <f>SUMIF($I$5:$I$50,I53,$M$5:$M$50)</f>
        <v>125191520.95798881</v>
      </c>
      <c r="N53" s="599">
        <f>SUMIF($I$5:$I$50,I53,$N$5:$N$50)</f>
        <v>63621937.665056229</v>
      </c>
      <c r="O53" s="599">
        <f>SUMIF($I$5:$I$50,I53,$O$5:$O$50)</f>
        <v>201560449.55201125</v>
      </c>
      <c r="P53" s="600"/>
      <c r="Q53" s="601"/>
      <c r="R53" s="10"/>
      <c r="S53" s="2"/>
    </row>
    <row r="54" spans="1:19" s="594" customFormat="1" ht="15" customHeight="1" x14ac:dyDescent="0.25">
      <c r="A54" s="595"/>
      <c r="B54" s="596"/>
      <c r="C54" s="597"/>
      <c r="D54" s="602"/>
      <c r="E54" s="602"/>
      <c r="F54" s="602"/>
      <c r="G54" s="602"/>
      <c r="H54" s="602"/>
      <c r="I54" s="602" t="s">
        <v>18</v>
      </c>
      <c r="J54" s="603">
        <f>SUMIF($I$5:$I$50,I54,$J$5:$J$50)</f>
        <v>31777311969</v>
      </c>
      <c r="K54" s="603">
        <f>SUMIF($I$5:$I$50,I54,$K$5:$K$50)</f>
        <v>31859249643</v>
      </c>
      <c r="L54" s="603"/>
      <c r="M54" s="603">
        <f>SUMIF($I$5:$I$50,I54,$M$5:$M$50)</f>
        <v>12748532590.394199</v>
      </c>
      <c r="N54" s="603">
        <f>SUMIF($I$5:$I$50,I54,$N$5:$N$50)</f>
        <v>3651976207.5861864</v>
      </c>
      <c r="O54" s="603">
        <f>SUMIF($I$5:$I$50,I54,$O$5:$O$50)</f>
        <v>19110717052.605801</v>
      </c>
      <c r="P54" s="604"/>
      <c r="Q54" s="605"/>
      <c r="R54" s="10"/>
      <c r="S54" s="2"/>
    </row>
    <row r="55" spans="1:19" s="594" customFormat="1" ht="15" customHeight="1" thickBot="1" x14ac:dyDescent="0.3">
      <c r="A55" s="606"/>
      <c r="B55" s="607"/>
      <c r="C55" s="608"/>
      <c r="D55" s="609"/>
      <c r="E55" s="609"/>
      <c r="F55" s="609"/>
      <c r="G55" s="610"/>
      <c r="H55" s="611"/>
      <c r="I55" s="612" t="s">
        <v>216</v>
      </c>
      <c r="J55" s="613">
        <f>SUMIF($I$5:$I$50,I55,$J$5:$J$50)</f>
        <v>24086688</v>
      </c>
      <c r="K55" s="613">
        <f>SUMIF($I$5:$I$50,I55,$K$5:$K$50)</f>
        <v>18384172.012149811</v>
      </c>
      <c r="L55" s="613"/>
      <c r="M55" s="613">
        <f>SUMIF($I$5:$I$50,I55,$M$5:$M$50)</f>
        <v>4824455.8054339811</v>
      </c>
      <c r="N55" s="613">
        <f>SUMIF($I$5:$I$50,I55,$N$5:$N$50)</f>
        <v>3135419.4621466845</v>
      </c>
      <c r="O55" s="613">
        <f>SUMIF($I$5:$I$50,I55,$O$5:$O$50)</f>
        <v>13559716.206715828</v>
      </c>
      <c r="P55" s="614"/>
      <c r="Q55" s="615"/>
      <c r="R55" s="10"/>
      <c r="S55" s="2"/>
    </row>
    <row r="56" spans="1:19" ht="96.75" customHeight="1" outlineLevel="1" x14ac:dyDescent="0.25">
      <c r="A56" s="511">
        <v>28</v>
      </c>
      <c r="B56" s="512" t="s">
        <v>309</v>
      </c>
      <c r="C56" s="367" t="s">
        <v>171</v>
      </c>
      <c r="D56" s="513" t="s">
        <v>52</v>
      </c>
      <c r="E56" s="577" t="s">
        <v>460</v>
      </c>
      <c r="F56" s="513" t="s">
        <v>430</v>
      </c>
      <c r="G56" s="577" t="s">
        <v>53</v>
      </c>
      <c r="H56" s="577" t="s">
        <v>81</v>
      </c>
      <c r="I56" s="546" t="s">
        <v>30</v>
      </c>
      <c r="J56" s="287">
        <v>5000000</v>
      </c>
      <c r="K56" s="287">
        <v>5000000</v>
      </c>
      <c r="L56" s="520" t="s">
        <v>197</v>
      </c>
      <c r="M56" s="287">
        <f>4166666.69+208333.33+88124985.9/423+87866652.7/421.76+87864653.7/421.75</f>
        <v>5000000.1203959631</v>
      </c>
      <c r="N56" s="287">
        <v>583240</v>
      </c>
      <c r="O56" s="287">
        <f t="shared" ref="O56:O61" si="2">K56-M56</f>
        <v>-0.12039596308022738</v>
      </c>
      <c r="P56" s="517" t="s">
        <v>111</v>
      </c>
      <c r="Q56" s="518" t="s">
        <v>482</v>
      </c>
      <c r="S56" s="2"/>
    </row>
    <row r="57" spans="1:19" ht="86.25" customHeight="1" outlineLevel="1" x14ac:dyDescent="0.25">
      <c r="A57" s="575">
        <v>29</v>
      </c>
      <c r="B57" s="499" t="s">
        <v>306</v>
      </c>
      <c r="C57" s="553" t="s">
        <v>172</v>
      </c>
      <c r="D57" s="616" t="s">
        <v>52</v>
      </c>
      <c r="E57" s="577" t="s">
        <v>461</v>
      </c>
      <c r="F57" s="616" t="s">
        <v>430</v>
      </c>
      <c r="G57" s="617" t="s">
        <v>54</v>
      </c>
      <c r="H57" s="617" t="s">
        <v>82</v>
      </c>
      <c r="I57" s="503" t="s">
        <v>30</v>
      </c>
      <c r="J57" s="284">
        <v>5000000</v>
      </c>
      <c r="K57" s="284">
        <v>5000000</v>
      </c>
      <c r="L57" s="556" t="s">
        <v>197</v>
      </c>
      <c r="M57" s="284">
        <f>3125000+208333.33+88124985.9/423+87866652.7/421.76+87864569.3/421.75</f>
        <v>3958333.2302774102</v>
      </c>
      <c r="N57" s="284">
        <v>427171.1</v>
      </c>
      <c r="O57" s="284">
        <f t="shared" si="2"/>
        <v>1041666.7697225898</v>
      </c>
      <c r="P57" s="500" t="s">
        <v>111</v>
      </c>
      <c r="Q57" s="282" t="s">
        <v>428</v>
      </c>
      <c r="S57" s="2"/>
    </row>
    <row r="58" spans="1:19" ht="84.75" customHeight="1" outlineLevel="1" x14ac:dyDescent="0.25">
      <c r="A58" s="575">
        <v>30</v>
      </c>
      <c r="B58" s="499" t="s">
        <v>306</v>
      </c>
      <c r="C58" s="553"/>
      <c r="D58" s="616" t="s">
        <v>414</v>
      </c>
      <c r="E58" s="368"/>
      <c r="F58" s="616" t="s">
        <v>431</v>
      </c>
      <c r="G58" s="617"/>
      <c r="H58" s="617"/>
      <c r="I58" s="618" t="s">
        <v>51</v>
      </c>
      <c r="J58" s="284"/>
      <c r="K58" s="284">
        <v>66094595</v>
      </c>
      <c r="L58" s="556" t="s">
        <v>197</v>
      </c>
      <c r="M58" s="284">
        <f>6609471.44+6609433.4+6609473.7+6609459.5+6609459.5</f>
        <v>33047297.539999999</v>
      </c>
      <c r="N58" s="284">
        <v>4464832.2977352943</v>
      </c>
      <c r="O58" s="284">
        <f t="shared" si="2"/>
        <v>33047297.460000001</v>
      </c>
      <c r="P58" s="507"/>
      <c r="Q58" s="282" t="s">
        <v>428</v>
      </c>
      <c r="S58" s="2"/>
    </row>
    <row r="59" spans="1:19" ht="89.25" customHeight="1" outlineLevel="1" x14ac:dyDescent="0.25">
      <c r="A59" s="225">
        <v>31</v>
      </c>
      <c r="B59" s="495" t="s">
        <v>307</v>
      </c>
      <c r="C59" s="282" t="s">
        <v>173</v>
      </c>
      <c r="D59" s="368" t="s">
        <v>56</v>
      </c>
      <c r="E59" s="552" t="s">
        <v>462</v>
      </c>
      <c r="F59" s="368" t="s">
        <v>430</v>
      </c>
      <c r="G59" s="552" t="s">
        <v>55</v>
      </c>
      <c r="H59" s="552" t="s">
        <v>83</v>
      </c>
      <c r="I59" s="503" t="s">
        <v>30</v>
      </c>
      <c r="J59" s="284">
        <v>5000000</v>
      </c>
      <c r="K59" s="284">
        <v>5000000</v>
      </c>
      <c r="L59" s="290" t="s">
        <v>197</v>
      </c>
      <c r="M59" s="284">
        <f>3227272.74+97124988.4/427.35+96136352.1/423+95854533.9/421.76+95852303.4/421.75</f>
        <v>4136363.6400054074</v>
      </c>
      <c r="N59" s="284">
        <f>475298.336411511+13707853.3/421.76+10793552.6/421.75</f>
        <v>533392.18557454634</v>
      </c>
      <c r="O59" s="284">
        <f t="shared" si="2"/>
        <v>863636.35999459261</v>
      </c>
      <c r="P59" s="291" t="s">
        <v>111</v>
      </c>
      <c r="Q59" s="369" t="s">
        <v>428</v>
      </c>
      <c r="S59" s="2"/>
    </row>
    <row r="60" spans="1:19" ht="57" customHeight="1" outlineLevel="1" x14ac:dyDescent="0.25">
      <c r="A60" s="498">
        <v>32</v>
      </c>
      <c r="B60" s="499" t="s">
        <v>308</v>
      </c>
      <c r="C60" s="500" t="s">
        <v>174</v>
      </c>
      <c r="D60" s="616" t="s">
        <v>56</v>
      </c>
      <c r="E60" s="552" t="s">
        <v>463</v>
      </c>
      <c r="F60" s="616" t="s">
        <v>430</v>
      </c>
      <c r="G60" s="617" t="s">
        <v>57</v>
      </c>
      <c r="H60" s="617" t="s">
        <v>84</v>
      </c>
      <c r="I60" s="618" t="s">
        <v>30</v>
      </c>
      <c r="J60" s="619">
        <v>5000000</v>
      </c>
      <c r="K60" s="284">
        <f>3000000+2000000</f>
        <v>5000000</v>
      </c>
      <c r="L60" s="620" t="s">
        <v>378</v>
      </c>
      <c r="M60" s="284">
        <f>676724.137931034+46797420.6/423+46660236.7/421.76+46659130.4/421.75</f>
        <v>1008620.738115976</v>
      </c>
      <c r="N60" s="284">
        <v>264937.42719531193</v>
      </c>
      <c r="O60" s="619">
        <f t="shared" si="2"/>
        <v>3991379.2618840239</v>
      </c>
      <c r="P60" s="500" t="s">
        <v>111</v>
      </c>
      <c r="Q60" s="369" t="s">
        <v>428</v>
      </c>
      <c r="S60" s="2"/>
    </row>
    <row r="61" spans="1:19" ht="57" customHeight="1" outlineLevel="1" thickBot="1" x14ac:dyDescent="0.3">
      <c r="A61" s="621"/>
      <c r="B61" s="499" t="s">
        <v>308</v>
      </c>
      <c r="C61" s="622"/>
      <c r="D61" s="616" t="s">
        <v>414</v>
      </c>
      <c r="E61" s="616"/>
      <c r="F61" s="616" t="s">
        <v>431</v>
      </c>
      <c r="G61" s="617" t="s">
        <v>57</v>
      </c>
      <c r="H61" s="617" t="s">
        <v>356</v>
      </c>
      <c r="I61" s="618" t="s">
        <v>51</v>
      </c>
      <c r="J61" s="619"/>
      <c r="K61" s="284">
        <v>168935081.21000001</v>
      </c>
      <c r="L61" s="620">
        <v>1.404E-2</v>
      </c>
      <c r="M61" s="284">
        <f>9751561.92837819+3148517+4073473.9+4413816.1</f>
        <v>21387368.928378187</v>
      </c>
      <c r="N61" s="284">
        <v>2860113.026823787</v>
      </c>
      <c r="O61" s="619">
        <f t="shared" si="2"/>
        <v>147547712.28162181</v>
      </c>
      <c r="P61" s="622"/>
      <c r="Q61" s="623" t="s">
        <v>428</v>
      </c>
      <c r="S61" s="2"/>
    </row>
    <row r="62" spans="1:19" s="594" customFormat="1" ht="15" customHeight="1" x14ac:dyDescent="0.25">
      <c r="A62" s="587" t="s">
        <v>159</v>
      </c>
      <c r="B62" s="588"/>
      <c r="C62" s="589"/>
      <c r="D62" s="624"/>
      <c r="E62" s="624"/>
      <c r="F62" s="590"/>
      <c r="G62" s="590"/>
      <c r="H62" s="590"/>
      <c r="I62" s="590" t="s">
        <v>30</v>
      </c>
      <c r="J62" s="591">
        <f>SUMIF($I$56:$I$61,I62,$J$56:$J$61)</f>
        <v>20000000</v>
      </c>
      <c r="K62" s="591">
        <f>SUMIF($I$56:$I$61,I62,$K$56:$K$61)</f>
        <v>20000000</v>
      </c>
      <c r="L62" s="625"/>
      <c r="M62" s="591">
        <f>SUMIF($I$56:$I$61,I62,$M$56:$M$61)</f>
        <v>14103317.728794757</v>
      </c>
      <c r="N62" s="591">
        <f>SUMIF($I$56:$I$61,I62,$N$56:$N$61)</f>
        <v>1808740.7127698583</v>
      </c>
      <c r="O62" s="591">
        <f>SUMIF($I$56:$I$61,I62,$O$56:$O$61)</f>
        <v>5896682.2712052427</v>
      </c>
      <c r="P62" s="592"/>
      <c r="Q62" s="593"/>
      <c r="R62" s="10"/>
      <c r="S62" s="2"/>
    </row>
    <row r="63" spans="1:19" s="594" customFormat="1" ht="15" customHeight="1" x14ac:dyDescent="0.25">
      <c r="A63" s="595"/>
      <c r="B63" s="596"/>
      <c r="C63" s="597"/>
      <c r="D63" s="562"/>
      <c r="E63" s="562"/>
      <c r="F63" s="598"/>
      <c r="G63" s="598"/>
      <c r="H63" s="598"/>
      <c r="I63" s="598" t="s">
        <v>51</v>
      </c>
      <c r="J63" s="599">
        <f>SUMIF($I$56:$I$61,I63,$J$56:$J$61)</f>
        <v>0</v>
      </c>
      <c r="K63" s="599">
        <f>SUMIF($I$56:$I$61,I63,$K$56:$K$61)</f>
        <v>235029676.21000001</v>
      </c>
      <c r="L63" s="599"/>
      <c r="M63" s="599">
        <f>SUMIF($I$56:$I$61,I63,$M$56:$M$61)</f>
        <v>54434666.468378186</v>
      </c>
      <c r="N63" s="599">
        <f>SUMIF($I$56:$I$61,I63,$N$56:$N$61)</f>
        <v>7324945.3245590813</v>
      </c>
      <c r="O63" s="599">
        <f>SUMIF($I$56:$I$61,I63,$O$56:$O$61)</f>
        <v>180595009.74162182</v>
      </c>
      <c r="P63" s="600"/>
      <c r="Q63" s="601"/>
      <c r="R63" s="10"/>
      <c r="S63" s="2"/>
    </row>
    <row r="64" spans="1:19" s="594" customFormat="1" ht="15" customHeight="1" x14ac:dyDescent="0.25">
      <c r="A64" s="595"/>
      <c r="B64" s="596"/>
      <c r="C64" s="597"/>
      <c r="D64" s="562"/>
      <c r="E64" s="562"/>
      <c r="F64" s="598"/>
      <c r="G64" s="598"/>
      <c r="H64" s="598"/>
      <c r="I64" s="598" t="s">
        <v>26</v>
      </c>
      <c r="J64" s="599">
        <f>SUMIF($I$56:$I$61,I64,$J$56:$J$61)</f>
        <v>0</v>
      </c>
      <c r="K64" s="599">
        <f>SUMIF($I$56:$I$61,I64,$K$56:$K$61)</f>
        <v>0</v>
      </c>
      <c r="L64" s="599"/>
      <c r="M64" s="599">
        <f>SUMIF($I$56:$I$61,I64,$M$56:$M$61)</f>
        <v>0</v>
      </c>
      <c r="N64" s="599">
        <f>SUMIF($I$56:$I$61,I64,$N$56:$N$61)</f>
        <v>0</v>
      </c>
      <c r="O64" s="599">
        <f>SUMIF($I$56:$I$61,I64,$O$56:$O$61)</f>
        <v>0</v>
      </c>
      <c r="P64" s="600"/>
      <c r="Q64" s="601"/>
      <c r="R64" s="10"/>
      <c r="S64" s="2"/>
    </row>
    <row r="65" spans="1:19" s="594" customFormat="1" ht="15" customHeight="1" thickBot="1" x14ac:dyDescent="0.3">
      <c r="A65" s="606"/>
      <c r="B65" s="607"/>
      <c r="C65" s="608"/>
      <c r="D65" s="626"/>
      <c r="E65" s="626"/>
      <c r="F65" s="609"/>
      <c r="G65" s="609"/>
      <c r="H65" s="609"/>
      <c r="I65" s="609" t="s">
        <v>18</v>
      </c>
      <c r="J65" s="613">
        <f>SUMIF($I$56:$I$61,I65,$J$56:$J$61)</f>
        <v>0</v>
      </c>
      <c r="K65" s="613">
        <f>SUMIF($I$56:$I$61,I65,$K$56:$K$61)</f>
        <v>0</v>
      </c>
      <c r="L65" s="613"/>
      <c r="M65" s="613">
        <f>SUMIF($I$56:$I$61,I65,$M$56:$M$61)</f>
        <v>0</v>
      </c>
      <c r="N65" s="613">
        <f>SUMIF($I$56:$I$61,I65,$N$56:$N$61)</f>
        <v>0</v>
      </c>
      <c r="O65" s="613">
        <f>SUMIF($I$56:$I$61,I65,$O$56:$O$61)</f>
        <v>0</v>
      </c>
      <c r="P65" s="614"/>
      <c r="Q65" s="615"/>
      <c r="R65" s="10"/>
      <c r="S65" s="2"/>
    </row>
    <row r="66" spans="1:19" s="6" customFormat="1" ht="91.5" customHeight="1" outlineLevel="1" x14ac:dyDescent="0.25">
      <c r="A66" s="225">
        <v>33</v>
      </c>
      <c r="B66" s="282" t="s">
        <v>100</v>
      </c>
      <c r="C66" s="282" t="s">
        <v>101</v>
      </c>
      <c r="D66" s="367" t="s">
        <v>417</v>
      </c>
      <c r="E66" s="367" t="s">
        <v>574</v>
      </c>
      <c r="F66" s="368" t="s">
        <v>405</v>
      </c>
      <c r="G66" s="289" t="s">
        <v>102</v>
      </c>
      <c r="H66" s="282" t="s">
        <v>215</v>
      </c>
      <c r="I66" s="282" t="s">
        <v>51</v>
      </c>
      <c r="J66" s="284">
        <v>74000000000</v>
      </c>
      <c r="K66" s="284">
        <v>74000000000</v>
      </c>
      <c r="L66" s="290" t="s">
        <v>67</v>
      </c>
      <c r="M66" s="284">
        <f>38761904762.2+1761904761.9+1761904761.9+1761904761.9+1761904761.9+1761904761.9+1761904761.9+1761904761.9+1761904761.9+1761904761.9+1761904761.9+1761904761.9+1761904761.9+1761904761.9+1761904761.9+1761904761.9+1761904762+1761904762</f>
        <v>68714285714.70002</v>
      </c>
      <c r="N66" s="284">
        <f>27971909177.5+338144.2+498915.4+526901.3+642474.8+795979.5+10421637.5+1734045.9+86178.9+156588.3+335841+256258.7+369392+1307877+6082866</f>
        <v>27995462278.000004</v>
      </c>
      <c r="O66" s="286">
        <f>K66-M66</f>
        <v>5285714285.2999802</v>
      </c>
      <c r="P66" s="291" t="s">
        <v>111</v>
      </c>
      <c r="Q66" s="369" t="s">
        <v>428</v>
      </c>
      <c r="R66" s="5"/>
      <c r="S66" s="2"/>
    </row>
    <row r="67" spans="1:19" s="6" customFormat="1" ht="91.5" customHeight="1" outlineLevel="1" x14ac:dyDescent="0.25">
      <c r="A67" s="225">
        <v>34</v>
      </c>
      <c r="B67" s="282" t="s">
        <v>100</v>
      </c>
      <c r="C67" s="282" t="s">
        <v>131</v>
      </c>
      <c r="D67" s="282" t="s">
        <v>61</v>
      </c>
      <c r="E67" s="282" t="s">
        <v>575</v>
      </c>
      <c r="F67" s="368" t="s">
        <v>405</v>
      </c>
      <c r="G67" s="289" t="s">
        <v>133</v>
      </c>
      <c r="H67" s="282" t="s">
        <v>134</v>
      </c>
      <c r="I67" s="282" t="s">
        <v>51</v>
      </c>
      <c r="J67" s="284">
        <v>2035890300</v>
      </c>
      <c r="K67" s="284">
        <v>2035890300</v>
      </c>
      <c r="L67" s="290" t="s">
        <v>98</v>
      </c>
      <c r="M67" s="284">
        <v>0</v>
      </c>
      <c r="N67" s="284">
        <v>0</v>
      </c>
      <c r="O67" s="286">
        <f t="shared" ref="O67:O72" si="3">K67-M67</f>
        <v>2035890300</v>
      </c>
      <c r="P67" s="291" t="s">
        <v>111</v>
      </c>
      <c r="Q67" s="369" t="s">
        <v>428</v>
      </c>
      <c r="R67" s="5"/>
      <c r="S67" s="2"/>
    </row>
    <row r="68" spans="1:19" ht="81" outlineLevel="1" x14ac:dyDescent="0.25">
      <c r="A68" s="511">
        <v>35</v>
      </c>
      <c r="B68" s="495" t="s">
        <v>3</v>
      </c>
      <c r="C68" s="282" t="s">
        <v>4</v>
      </c>
      <c r="D68" s="368" t="s">
        <v>61</v>
      </c>
      <c r="E68" s="368" t="s">
        <v>439</v>
      </c>
      <c r="F68" s="368"/>
      <c r="G68" s="289" t="s">
        <v>360</v>
      </c>
      <c r="H68" s="368" t="s">
        <v>80</v>
      </c>
      <c r="I68" s="503" t="s">
        <v>30</v>
      </c>
      <c r="J68" s="284">
        <v>3500000</v>
      </c>
      <c r="K68" s="284">
        <v>3500000</v>
      </c>
      <c r="L68" s="290">
        <v>7.4999999999999997E-3</v>
      </c>
      <c r="M68" s="284">
        <f>696000+31440060/542.07+58000+24255020/418.19+24400600/420.7+25920780/446.91+24152360/416.42+23862360/411.42</f>
        <v>1102000</v>
      </c>
      <c r="N68" s="284">
        <f>399592.922231146+10515+10297.5+4215355.2/418.19+4149153.8/420.7+4310447/446.91+3925799.6/416.42+3789178.2/411.42</f>
        <v>468630.42258194601</v>
      </c>
      <c r="O68" s="286">
        <f t="shared" si="3"/>
        <v>2398000</v>
      </c>
      <c r="P68" s="291" t="s">
        <v>111</v>
      </c>
      <c r="Q68" s="369" t="s">
        <v>428</v>
      </c>
      <c r="S68" s="2"/>
    </row>
    <row r="69" spans="1:19" ht="128.25" customHeight="1" outlineLevel="1" x14ac:dyDescent="0.25">
      <c r="A69" s="225">
        <v>36</v>
      </c>
      <c r="B69" s="495" t="s">
        <v>118</v>
      </c>
      <c r="C69" s="282" t="s">
        <v>122</v>
      </c>
      <c r="D69" s="282" t="s">
        <v>8</v>
      </c>
      <c r="E69" s="282"/>
      <c r="F69" s="368" t="s">
        <v>405</v>
      </c>
      <c r="G69" s="550" t="s">
        <v>119</v>
      </c>
      <c r="H69" s="368" t="s">
        <v>177</v>
      </c>
      <c r="I69" s="503" t="s">
        <v>26</v>
      </c>
      <c r="J69" s="286">
        <v>1689937.9</v>
      </c>
      <c r="K69" s="284">
        <v>1689937.9</v>
      </c>
      <c r="L69" s="570">
        <v>5.9900000000000002E-2</v>
      </c>
      <c r="M69" s="284">
        <f>872805.23+28165+28165+28165+28165</f>
        <v>985465.23</v>
      </c>
      <c r="N69" s="284">
        <f>1964862.47+25588.58+24871.58+24276.42+23029.84</f>
        <v>2062628.8900000001</v>
      </c>
      <c r="O69" s="286">
        <f t="shared" si="3"/>
        <v>704472.66999999993</v>
      </c>
      <c r="P69" s="627" t="s">
        <v>111</v>
      </c>
      <c r="Q69" s="628" t="s">
        <v>428</v>
      </c>
      <c r="S69" s="2"/>
    </row>
    <row r="70" spans="1:19" ht="98.25" customHeight="1" outlineLevel="1" x14ac:dyDescent="0.25">
      <c r="A70" s="511">
        <v>37</v>
      </c>
      <c r="B70" s="495" t="s">
        <v>120</v>
      </c>
      <c r="C70" s="282" t="s">
        <v>123</v>
      </c>
      <c r="D70" s="282" t="s">
        <v>8</v>
      </c>
      <c r="E70" s="282"/>
      <c r="F70" s="368" t="s">
        <v>405</v>
      </c>
      <c r="G70" s="550" t="s">
        <v>121</v>
      </c>
      <c r="H70" s="368" t="s">
        <v>178</v>
      </c>
      <c r="I70" s="503" t="s">
        <v>26</v>
      </c>
      <c r="J70" s="286">
        <v>2828000</v>
      </c>
      <c r="K70" s="284">
        <v>2828000</v>
      </c>
      <c r="L70" s="570">
        <v>5.9900000000000002E-2</v>
      </c>
      <c r="M70" s="286">
        <f>1128831.5+47000+47000+47000</f>
        <v>1269831.5</v>
      </c>
      <c r="N70" s="284">
        <f>1731608.85+50775.51+49371.71+48231.48</f>
        <v>1879987.55</v>
      </c>
      <c r="O70" s="286">
        <f t="shared" si="3"/>
        <v>1558168.5</v>
      </c>
      <c r="P70" s="627" t="s">
        <v>111</v>
      </c>
      <c r="Q70" s="628" t="s">
        <v>428</v>
      </c>
      <c r="S70" s="2"/>
    </row>
    <row r="71" spans="1:19" s="215" customFormat="1" ht="140.25" customHeight="1" outlineLevel="1" x14ac:dyDescent="0.25">
      <c r="A71" s="225">
        <v>38</v>
      </c>
      <c r="B71" s="495" t="s">
        <v>114</v>
      </c>
      <c r="C71" s="282" t="s">
        <v>115</v>
      </c>
      <c r="D71" s="282" t="s">
        <v>8</v>
      </c>
      <c r="E71" s="282"/>
      <c r="F71" s="368" t="s">
        <v>405</v>
      </c>
      <c r="G71" s="368" t="s">
        <v>116</v>
      </c>
      <c r="H71" s="368" t="s">
        <v>117</v>
      </c>
      <c r="I71" s="282" t="s">
        <v>51</v>
      </c>
      <c r="J71" s="516">
        <v>2092000000</v>
      </c>
      <c r="K71" s="284">
        <v>2092000000</v>
      </c>
      <c r="L71" s="629">
        <v>0.02</v>
      </c>
      <c r="M71" s="284">
        <f>354576270+35457627.1+35457627+35457627+35457627+35457627.12</f>
        <v>531864405.22000003</v>
      </c>
      <c r="N71" s="284">
        <f>426427783.87+17517039.3+16879773.4+16802058.1+16265822.2+16087076.86</f>
        <v>509979553.73000002</v>
      </c>
      <c r="O71" s="286">
        <f t="shared" si="3"/>
        <v>1560135594.78</v>
      </c>
      <c r="P71" s="627" t="s">
        <v>111</v>
      </c>
      <c r="Q71" s="628" t="s">
        <v>428</v>
      </c>
      <c r="R71" s="214"/>
      <c r="S71" s="2"/>
    </row>
    <row r="72" spans="1:19" s="215" customFormat="1" ht="123.75" customHeight="1" outlineLevel="1" thickBot="1" x14ac:dyDescent="0.3">
      <c r="A72" s="630">
        <v>39</v>
      </c>
      <c r="B72" s="631" t="s">
        <v>114</v>
      </c>
      <c r="C72" s="522" t="s">
        <v>212</v>
      </c>
      <c r="D72" s="522" t="s">
        <v>8</v>
      </c>
      <c r="E72" s="522"/>
      <c r="F72" s="523" t="s">
        <v>405</v>
      </c>
      <c r="G72" s="523" t="s">
        <v>213</v>
      </c>
      <c r="H72" s="523" t="s">
        <v>214</v>
      </c>
      <c r="I72" s="523" t="s">
        <v>51</v>
      </c>
      <c r="J72" s="632">
        <v>2187306400</v>
      </c>
      <c r="K72" s="632">
        <v>2187306400</v>
      </c>
      <c r="L72" s="633">
        <v>0.03</v>
      </c>
      <c r="M72" s="634">
        <v>75424358.620000005</v>
      </c>
      <c r="N72" s="634">
        <f>224789707.9+33079263.9+32539928.1+33079263.9+32719706.7+33079263.9</f>
        <v>389287134.39999998</v>
      </c>
      <c r="O72" s="635">
        <f t="shared" si="3"/>
        <v>2111882041.3800001</v>
      </c>
      <c r="P72" s="636" t="s">
        <v>111</v>
      </c>
      <c r="Q72" s="637" t="s">
        <v>428</v>
      </c>
      <c r="R72" s="214"/>
      <c r="S72" s="2"/>
    </row>
    <row r="73" spans="1:19" s="594" customFormat="1" ht="15" customHeight="1" x14ac:dyDescent="0.25">
      <c r="A73" s="595" t="s">
        <v>160</v>
      </c>
      <c r="B73" s="596"/>
      <c r="C73" s="597"/>
      <c r="D73" s="638"/>
      <c r="E73" s="638"/>
      <c r="F73" s="639"/>
      <c r="G73" s="639"/>
      <c r="H73" s="639"/>
      <c r="I73" s="639" t="s">
        <v>30</v>
      </c>
      <c r="J73" s="640">
        <f>SUMIF($I$66:$I$72,I73,$J$66:$J$72)</f>
        <v>3500000</v>
      </c>
      <c r="K73" s="640">
        <f>SUMIF($I$66:$I$72,I73,$K$66:$K$72)</f>
        <v>3500000</v>
      </c>
      <c r="L73" s="640"/>
      <c r="M73" s="640">
        <f>SUMIF($I$66:$I$72,I73,$M$66:$M$72)</f>
        <v>1102000</v>
      </c>
      <c r="N73" s="640">
        <f>SUMIF($I$66:$I$72,I73,$N$66:$N$72)</f>
        <v>468630.42258194601</v>
      </c>
      <c r="O73" s="640">
        <f>SUMIF($I$66:$I$72,I73,$O$66:$O$72)</f>
        <v>2398000</v>
      </c>
      <c r="P73" s="641"/>
      <c r="Q73" s="593"/>
      <c r="R73" s="10"/>
      <c r="S73" s="2"/>
    </row>
    <row r="74" spans="1:19" s="594" customFormat="1" ht="15" customHeight="1" x14ac:dyDescent="0.25">
      <c r="A74" s="595"/>
      <c r="B74" s="596"/>
      <c r="C74" s="597"/>
      <c r="D74" s="562"/>
      <c r="E74" s="562"/>
      <c r="F74" s="598"/>
      <c r="G74" s="598"/>
      <c r="H74" s="598"/>
      <c r="I74" s="598" t="s">
        <v>51</v>
      </c>
      <c r="J74" s="599">
        <f>SUMIF($I$66:$I$72,I74,$J$66:$J$72)</f>
        <v>80315196700</v>
      </c>
      <c r="K74" s="599">
        <f>SUMIF($I$66:$I$72,I74,$K$66:$K$72)</f>
        <v>80315196700</v>
      </c>
      <c r="L74" s="599"/>
      <c r="M74" s="599">
        <f>SUMIF($I$66:$I$72,I74,$M$66:$M$72)</f>
        <v>69321574478.540009</v>
      </c>
      <c r="N74" s="599">
        <f>SUMIF($I$66:$I$72,I74,$N$66:$N$72)</f>
        <v>28894728966.130005</v>
      </c>
      <c r="O74" s="599">
        <f>SUMIF($I$66:$I$72,I74,$O$66:$O$72)</f>
        <v>10993622221.45998</v>
      </c>
      <c r="P74" s="600"/>
      <c r="Q74" s="601"/>
      <c r="R74" s="10"/>
      <c r="S74" s="2"/>
    </row>
    <row r="75" spans="1:19" s="594" customFormat="1" ht="15" customHeight="1" x14ac:dyDescent="0.25">
      <c r="A75" s="595"/>
      <c r="B75" s="596"/>
      <c r="C75" s="597"/>
      <c r="D75" s="562"/>
      <c r="E75" s="562"/>
      <c r="F75" s="598"/>
      <c r="G75" s="598"/>
      <c r="H75" s="598"/>
      <c r="I75" s="598" t="s">
        <v>26</v>
      </c>
      <c r="J75" s="599">
        <f>SUMIF($I$66:$I$72,I75,$J$66:$J$72)</f>
        <v>4517937.9000000004</v>
      </c>
      <c r="K75" s="599">
        <f>SUMIF($I$66:$I$72,I75,$K$66:$K$72)</f>
        <v>4517937.9000000004</v>
      </c>
      <c r="L75" s="599"/>
      <c r="M75" s="599">
        <f>SUMIF($I$66:$I$72,I75,$M$66:$M$72)</f>
        <v>2255296.73</v>
      </c>
      <c r="N75" s="599">
        <f>SUMIF($I$66:$I$72,I75,$N$66:$N$72)</f>
        <v>3942616.4400000004</v>
      </c>
      <c r="O75" s="599">
        <f>SUMIF($I$66:$I$72,I75,$O$66:$O$72)</f>
        <v>2262641.17</v>
      </c>
      <c r="P75" s="600"/>
      <c r="Q75" s="601"/>
      <c r="R75" s="10"/>
      <c r="S75" s="2"/>
    </row>
    <row r="76" spans="1:19" s="594" customFormat="1" ht="15" customHeight="1" thickBot="1" x14ac:dyDescent="0.3">
      <c r="A76" s="606"/>
      <c r="B76" s="607"/>
      <c r="C76" s="608"/>
      <c r="D76" s="626"/>
      <c r="E76" s="626"/>
      <c r="F76" s="609"/>
      <c r="G76" s="609"/>
      <c r="H76" s="609"/>
      <c r="I76" s="609" t="s">
        <v>18</v>
      </c>
      <c r="J76" s="613">
        <f>SUMIF($I$66:$I$72,I76,$J$66:$J$72)</f>
        <v>0</v>
      </c>
      <c r="K76" s="613">
        <f>SUMIF($I$66:$I$72,I76,$K$66:$K$72)</f>
        <v>0</v>
      </c>
      <c r="L76" s="613"/>
      <c r="M76" s="613">
        <f>SUMIF($I$66:$I$72,I76,$M$66:$M$72)</f>
        <v>0</v>
      </c>
      <c r="N76" s="613">
        <f>SUMIF($I$66:$I$72,I76,$N$66:$N$72)</f>
        <v>0</v>
      </c>
      <c r="O76" s="613">
        <f>SUMIF($I$66:$I$72,I76,$O$66:$O$72)</f>
        <v>0</v>
      </c>
      <c r="P76" s="614"/>
      <c r="Q76" s="615"/>
      <c r="R76" s="10"/>
      <c r="S76" s="2"/>
    </row>
    <row r="77" spans="1:19" s="6" customFormat="1" ht="77.25" customHeight="1" outlineLevel="1" x14ac:dyDescent="0.25">
      <c r="A77" s="225">
        <v>40</v>
      </c>
      <c r="B77" s="495" t="s">
        <v>124</v>
      </c>
      <c r="C77" s="282" t="s">
        <v>107</v>
      </c>
      <c r="D77" s="367" t="s">
        <v>106</v>
      </c>
      <c r="E77" s="367"/>
      <c r="F77" s="513" t="s">
        <v>432</v>
      </c>
      <c r="G77" s="367" t="s">
        <v>135</v>
      </c>
      <c r="H77" s="282" t="s">
        <v>231</v>
      </c>
      <c r="I77" s="503" t="s">
        <v>26</v>
      </c>
      <c r="J77" s="284">
        <v>361332</v>
      </c>
      <c r="K77" s="284">
        <v>361332</v>
      </c>
      <c r="L77" s="290">
        <v>7.7700000000000005E-2</v>
      </c>
      <c r="M77" s="284">
        <f>219031+1000000/388.24</f>
        <v>221606.72635483206</v>
      </c>
      <c r="N77" s="284">
        <f>187530</f>
        <v>187530</v>
      </c>
      <c r="O77" s="286">
        <f>K77-M77</f>
        <v>139725.27364516794</v>
      </c>
      <c r="P77" s="291" t="s">
        <v>127</v>
      </c>
      <c r="Q77" s="518" t="s">
        <v>433</v>
      </c>
      <c r="R77" s="5"/>
      <c r="S77" s="2"/>
    </row>
    <row r="78" spans="1:19" ht="64.5" customHeight="1" outlineLevel="1" x14ac:dyDescent="0.25">
      <c r="A78" s="225">
        <v>41</v>
      </c>
      <c r="B78" s="495" t="s">
        <v>219</v>
      </c>
      <c r="C78" s="282" t="s">
        <v>238</v>
      </c>
      <c r="D78" s="616" t="s">
        <v>52</v>
      </c>
      <c r="E78" s="616"/>
      <c r="F78" s="616" t="s">
        <v>430</v>
      </c>
      <c r="G78" s="552" t="s">
        <v>220</v>
      </c>
      <c r="H78" s="284" t="s">
        <v>221</v>
      </c>
      <c r="I78" s="503" t="s">
        <v>30</v>
      </c>
      <c r="J78" s="284">
        <v>8000000</v>
      </c>
      <c r="K78" s="284">
        <v>80000</v>
      </c>
      <c r="L78" s="290" t="s">
        <v>98</v>
      </c>
      <c r="M78" s="284">
        <f>10909.09+3636.36+3636.36+1428217/392.76+1554016/427.35+3636.4+3632.85+3636.4</f>
        <v>36360.221703756208</v>
      </c>
      <c r="N78" s="284">
        <f>105386.95+361.72+42360.02+4761284/392.76+5116448/427.35+12019.8+11989.6+11973.65</f>
        <v>208186.86988818215</v>
      </c>
      <c r="O78" s="286">
        <f>K78-M78</f>
        <v>43639.778296243792</v>
      </c>
      <c r="P78" s="291" t="s">
        <v>222</v>
      </c>
      <c r="Q78" s="369" t="s">
        <v>428</v>
      </c>
      <c r="S78" s="2"/>
    </row>
    <row r="79" spans="1:19" ht="63" customHeight="1" outlineLevel="1" x14ac:dyDescent="0.25">
      <c r="A79" s="225">
        <v>42</v>
      </c>
      <c r="B79" s="495" t="s">
        <v>219</v>
      </c>
      <c r="C79" s="282" t="s">
        <v>239</v>
      </c>
      <c r="D79" s="616" t="s">
        <v>56</v>
      </c>
      <c r="E79" s="616"/>
      <c r="F79" s="616" t="s">
        <v>430</v>
      </c>
      <c r="G79" s="552" t="s">
        <v>223</v>
      </c>
      <c r="H79" s="284" t="s">
        <v>221</v>
      </c>
      <c r="I79" s="503" t="s">
        <v>30</v>
      </c>
      <c r="J79" s="284">
        <v>8000000</v>
      </c>
      <c r="K79" s="284"/>
      <c r="L79" s="290" t="s">
        <v>98</v>
      </c>
      <c r="M79" s="284"/>
      <c r="N79" s="284"/>
      <c r="O79" s="286">
        <f>K79-M79</f>
        <v>0</v>
      </c>
      <c r="P79" s="291" t="s">
        <v>222</v>
      </c>
      <c r="Q79" s="369" t="s">
        <v>428</v>
      </c>
      <c r="S79" s="2"/>
    </row>
    <row r="80" spans="1:19" ht="71.25" customHeight="1" outlineLevel="1" x14ac:dyDescent="0.25">
      <c r="A80" s="498">
        <v>43</v>
      </c>
      <c r="B80" s="566" t="s">
        <v>274</v>
      </c>
      <c r="C80" s="500" t="s">
        <v>357</v>
      </c>
      <c r="D80" s="616" t="s">
        <v>52</v>
      </c>
      <c r="E80" s="616"/>
      <c r="F80" s="616" t="s">
        <v>430</v>
      </c>
      <c r="G80" s="552" t="s">
        <v>275</v>
      </c>
      <c r="H80" s="500" t="s">
        <v>358</v>
      </c>
      <c r="I80" s="503" t="s">
        <v>30</v>
      </c>
      <c r="J80" s="284">
        <v>5500000</v>
      </c>
      <c r="K80" s="284">
        <f>1384955.78+492272.39+301757.1+219245.55+25340.75+40551.45+228066.75+500000</f>
        <v>3192189.77</v>
      </c>
      <c r="L80" s="290" t="s">
        <v>98</v>
      </c>
      <c r="M80" s="284"/>
      <c r="N80" s="284"/>
      <c r="O80" s="286">
        <f t="shared" ref="O80:O104" si="4">K80-M80</f>
        <v>3192189.77</v>
      </c>
      <c r="P80" s="291" t="s">
        <v>111</v>
      </c>
      <c r="Q80" s="369" t="s">
        <v>433</v>
      </c>
      <c r="S80" s="2"/>
    </row>
    <row r="81" spans="1:19" ht="74.25" customHeight="1" outlineLevel="1" x14ac:dyDescent="0.25">
      <c r="A81" s="506"/>
      <c r="B81" s="567"/>
      <c r="C81" s="507"/>
      <c r="D81" s="616" t="s">
        <v>414</v>
      </c>
      <c r="E81" s="616"/>
      <c r="F81" s="616" t="s">
        <v>431</v>
      </c>
      <c r="G81" s="552"/>
      <c r="H81" s="507"/>
      <c r="I81" s="368" t="s">
        <v>51</v>
      </c>
      <c r="J81" s="284">
        <v>92733053.200000003</v>
      </c>
      <c r="K81" s="284">
        <f>92733053.2+20276600+1679251+16492341.9+20399976.4+42969092+26833268.5</f>
        <v>221383583</v>
      </c>
      <c r="L81" s="290"/>
      <c r="M81" s="284"/>
      <c r="N81" s="284"/>
      <c r="O81" s="286">
        <f t="shared" si="4"/>
        <v>221383583</v>
      </c>
      <c r="P81" s="291"/>
      <c r="Q81" s="369" t="s">
        <v>433</v>
      </c>
      <c r="S81" s="2"/>
    </row>
    <row r="82" spans="1:19" ht="80.25" customHeight="1" outlineLevel="1" x14ac:dyDescent="0.25">
      <c r="A82" s="225">
        <v>44</v>
      </c>
      <c r="B82" s="495" t="s">
        <v>74</v>
      </c>
      <c r="C82" s="282" t="s">
        <v>129</v>
      </c>
      <c r="D82" s="282" t="s">
        <v>414</v>
      </c>
      <c r="E82" s="282"/>
      <c r="F82" s="368" t="s">
        <v>430</v>
      </c>
      <c r="G82" s="552" t="s">
        <v>68</v>
      </c>
      <c r="H82" s="284" t="s">
        <v>224</v>
      </c>
      <c r="I82" s="368" t="s">
        <v>51</v>
      </c>
      <c r="J82" s="284">
        <v>249300000</v>
      </c>
      <c r="K82" s="284">
        <v>249300000</v>
      </c>
      <c r="L82" s="565">
        <v>1E-3</v>
      </c>
      <c r="M82" s="284">
        <f>42881892.9</f>
        <v>42881892.899999999</v>
      </c>
      <c r="N82" s="284">
        <f>528153.5</f>
        <v>528153.5</v>
      </c>
      <c r="O82" s="286">
        <f t="shared" si="4"/>
        <v>206418107.09999999</v>
      </c>
      <c r="P82" s="291" t="s">
        <v>111</v>
      </c>
      <c r="Q82" s="369" t="s">
        <v>428</v>
      </c>
      <c r="S82" s="2"/>
    </row>
    <row r="83" spans="1:19" ht="148.5" outlineLevel="1" x14ac:dyDescent="0.25">
      <c r="A83" s="225">
        <v>45</v>
      </c>
      <c r="B83" s="499" t="s">
        <v>192</v>
      </c>
      <c r="C83" s="553" t="s">
        <v>193</v>
      </c>
      <c r="D83" s="616" t="s">
        <v>145</v>
      </c>
      <c r="E83" s="616"/>
      <c r="F83" s="616" t="s">
        <v>430</v>
      </c>
      <c r="G83" s="617" t="s">
        <v>194</v>
      </c>
      <c r="H83" s="619" t="s">
        <v>195</v>
      </c>
      <c r="I83" s="503" t="s">
        <v>26</v>
      </c>
      <c r="J83" s="284">
        <v>4000000</v>
      </c>
      <c r="K83" s="284">
        <v>1325350.5999999999</v>
      </c>
      <c r="L83" s="290" t="s">
        <v>98</v>
      </c>
      <c r="M83" s="284">
        <f>465353.9+34986668/397.71+41212635/391.46+40758842/387.15</f>
        <v>763882.69981118676</v>
      </c>
      <c r="N83" s="284">
        <f>188098.2+7483550/397.71+8032446/391.46+5274803/387.15</f>
        <v>241058.70097373266</v>
      </c>
      <c r="O83" s="585">
        <f>K83-M83</f>
        <v>561467.9001888131</v>
      </c>
      <c r="P83" s="553" t="s">
        <v>304</v>
      </c>
      <c r="Q83" s="370" t="s">
        <v>428</v>
      </c>
      <c r="S83" s="2"/>
    </row>
    <row r="84" spans="1:19" s="215" customFormat="1" ht="27" outlineLevel="1" x14ac:dyDescent="0.25">
      <c r="A84" s="225">
        <v>46</v>
      </c>
      <c r="B84" s="495" t="s">
        <v>163</v>
      </c>
      <c r="C84" s="282" t="s">
        <v>101</v>
      </c>
      <c r="D84" s="368" t="s">
        <v>417</v>
      </c>
      <c r="E84" s="368"/>
      <c r="F84" s="368" t="s">
        <v>405</v>
      </c>
      <c r="G84" s="368" t="s">
        <v>109</v>
      </c>
      <c r="H84" s="368" t="s">
        <v>393</v>
      </c>
      <c r="I84" s="368" t="s">
        <v>51</v>
      </c>
      <c r="J84" s="516">
        <v>50600000</v>
      </c>
      <c r="K84" s="284">
        <v>50600000</v>
      </c>
      <c r="L84" s="495" t="s">
        <v>110</v>
      </c>
      <c r="M84" s="284"/>
      <c r="N84" s="284"/>
      <c r="O84" s="516">
        <f t="shared" si="4"/>
        <v>50600000</v>
      </c>
      <c r="P84" s="291" t="s">
        <v>111</v>
      </c>
      <c r="Q84" s="369" t="s">
        <v>433</v>
      </c>
      <c r="R84" s="214"/>
      <c r="S84" s="2"/>
    </row>
    <row r="85" spans="1:19" s="215" customFormat="1" ht="40.5" customHeight="1" outlineLevel="1" x14ac:dyDescent="0.25">
      <c r="A85" s="225">
        <v>47</v>
      </c>
      <c r="B85" s="495" t="s">
        <v>163</v>
      </c>
      <c r="C85" s="282" t="s">
        <v>101</v>
      </c>
      <c r="D85" s="368" t="s">
        <v>417</v>
      </c>
      <c r="E85" s="368"/>
      <c r="F85" s="368" t="s">
        <v>405</v>
      </c>
      <c r="G85" s="368" t="s">
        <v>112</v>
      </c>
      <c r="H85" s="368" t="s">
        <v>394</v>
      </c>
      <c r="I85" s="282" t="s">
        <v>51</v>
      </c>
      <c r="J85" s="516">
        <v>1100000000</v>
      </c>
      <c r="K85" s="284">
        <v>1100000000</v>
      </c>
      <c r="L85" s="495" t="s">
        <v>110</v>
      </c>
      <c r="M85" s="284"/>
      <c r="N85" s="284"/>
      <c r="O85" s="516">
        <f t="shared" si="4"/>
        <v>1100000000</v>
      </c>
      <c r="P85" s="566" t="s">
        <v>379</v>
      </c>
      <c r="Q85" s="369" t="s">
        <v>433</v>
      </c>
      <c r="R85" s="214"/>
      <c r="S85" s="2"/>
    </row>
    <row r="86" spans="1:19" s="215" customFormat="1" ht="27" outlineLevel="1" x14ac:dyDescent="0.25">
      <c r="A86" s="225">
        <v>48</v>
      </c>
      <c r="B86" s="495" t="s">
        <v>163</v>
      </c>
      <c r="C86" s="282" t="s">
        <v>101</v>
      </c>
      <c r="D86" s="368" t="s">
        <v>417</v>
      </c>
      <c r="E86" s="368"/>
      <c r="F86" s="368" t="s">
        <v>405</v>
      </c>
      <c r="G86" s="368" t="s">
        <v>113</v>
      </c>
      <c r="H86" s="368" t="s">
        <v>395</v>
      </c>
      <c r="I86" s="282" t="s">
        <v>51</v>
      </c>
      <c r="J86" s="516">
        <v>792386600</v>
      </c>
      <c r="K86" s="284">
        <v>791031693</v>
      </c>
      <c r="L86" s="495" t="s">
        <v>110</v>
      </c>
      <c r="M86" s="284"/>
      <c r="N86" s="284"/>
      <c r="O86" s="516">
        <f t="shared" si="4"/>
        <v>791031693</v>
      </c>
      <c r="P86" s="642"/>
      <c r="Q86" s="369" t="s">
        <v>433</v>
      </c>
      <c r="R86" s="214"/>
      <c r="S86" s="2"/>
    </row>
    <row r="87" spans="1:19" s="215" customFormat="1" ht="27" outlineLevel="1" x14ac:dyDescent="0.25">
      <c r="A87" s="225">
        <v>49</v>
      </c>
      <c r="B87" s="495" t="s">
        <v>163</v>
      </c>
      <c r="C87" s="282" t="s">
        <v>101</v>
      </c>
      <c r="D87" s="368" t="s">
        <v>417</v>
      </c>
      <c r="E87" s="368"/>
      <c r="F87" s="368" t="s">
        <v>405</v>
      </c>
      <c r="G87" s="368" t="s">
        <v>148</v>
      </c>
      <c r="H87" s="368" t="s">
        <v>396</v>
      </c>
      <c r="I87" s="282" t="s">
        <v>51</v>
      </c>
      <c r="J87" s="516">
        <v>254672300</v>
      </c>
      <c r="K87" s="284">
        <f>168444408+75498000+5196300+5196300</f>
        <v>254335008</v>
      </c>
      <c r="L87" s="495" t="s">
        <v>110</v>
      </c>
      <c r="M87" s="284"/>
      <c r="N87" s="284"/>
      <c r="O87" s="516">
        <f t="shared" si="4"/>
        <v>254335008</v>
      </c>
      <c r="P87" s="567"/>
      <c r="Q87" s="369" t="s">
        <v>433</v>
      </c>
      <c r="R87" s="214"/>
      <c r="S87" s="2"/>
    </row>
    <row r="88" spans="1:19" s="215" customFormat="1" ht="40.5" outlineLevel="1" x14ac:dyDescent="0.25">
      <c r="A88" s="225">
        <v>50</v>
      </c>
      <c r="B88" s="495" t="s">
        <v>166</v>
      </c>
      <c r="C88" s="282" t="s">
        <v>101</v>
      </c>
      <c r="D88" s="368" t="s">
        <v>414</v>
      </c>
      <c r="E88" s="368"/>
      <c r="F88" s="368"/>
      <c r="G88" s="368" t="s">
        <v>167</v>
      </c>
      <c r="H88" s="368" t="s">
        <v>168</v>
      </c>
      <c r="I88" s="282" t="s">
        <v>51</v>
      </c>
      <c r="J88" s="516">
        <v>88731015</v>
      </c>
      <c r="K88" s="284">
        <v>88731000</v>
      </c>
      <c r="L88" s="514">
        <v>8.5000000000000006E-2</v>
      </c>
      <c r="M88" s="284">
        <f>88731000</f>
        <v>88731000</v>
      </c>
      <c r="N88" s="284">
        <f>1591081+30000000</f>
        <v>31591081</v>
      </c>
      <c r="O88" s="516">
        <f t="shared" si="4"/>
        <v>0</v>
      </c>
      <c r="P88" s="627" t="s">
        <v>169</v>
      </c>
      <c r="Q88" s="628" t="s">
        <v>433</v>
      </c>
      <c r="R88" s="214"/>
      <c r="S88" s="2"/>
    </row>
    <row r="89" spans="1:19" ht="81" outlineLevel="1" x14ac:dyDescent="0.25">
      <c r="A89" s="225">
        <v>51</v>
      </c>
      <c r="B89" s="499" t="s">
        <v>229</v>
      </c>
      <c r="C89" s="553" t="s">
        <v>156</v>
      </c>
      <c r="D89" s="553" t="s">
        <v>8</v>
      </c>
      <c r="E89" s="553"/>
      <c r="F89" s="616" t="s">
        <v>405</v>
      </c>
      <c r="G89" s="282" t="s">
        <v>201</v>
      </c>
      <c r="H89" s="282" t="s">
        <v>200</v>
      </c>
      <c r="I89" s="282" t="s">
        <v>26</v>
      </c>
      <c r="J89" s="283">
        <v>8944984.0899999999</v>
      </c>
      <c r="K89" s="284">
        <v>8944984.0899999999</v>
      </c>
      <c r="L89" s="643">
        <v>7.4999999999999997E-3</v>
      </c>
      <c r="M89" s="284">
        <f>2425758.4+151609.9+151609.9+151609.9+151609.9</f>
        <v>3032197.9999999995</v>
      </c>
      <c r="N89" s="284">
        <f>881276.03+25084.35+24380.12+23943.98+23373.89+22803.79</f>
        <v>1000862.16</v>
      </c>
      <c r="O89" s="286">
        <f t="shared" si="4"/>
        <v>5912786.0899999999</v>
      </c>
      <c r="P89" s="288" t="s">
        <v>111</v>
      </c>
      <c r="Q89" s="370" t="s">
        <v>428</v>
      </c>
      <c r="S89" s="2"/>
    </row>
    <row r="90" spans="1:19" ht="55.5" customHeight="1" outlineLevel="1" x14ac:dyDescent="0.25">
      <c r="A90" s="498">
        <v>52</v>
      </c>
      <c r="B90" s="566" t="s">
        <v>230</v>
      </c>
      <c r="C90" s="500" t="s">
        <v>156</v>
      </c>
      <c r="D90" s="500" t="s">
        <v>8</v>
      </c>
      <c r="E90" s="553"/>
      <c r="F90" s="616" t="s">
        <v>405</v>
      </c>
      <c r="G90" s="500" t="s">
        <v>202</v>
      </c>
      <c r="H90" s="282" t="s">
        <v>203</v>
      </c>
      <c r="I90" s="282" t="s">
        <v>26</v>
      </c>
      <c r="J90" s="283">
        <v>5217725</v>
      </c>
      <c r="K90" s="284">
        <v>5217725</v>
      </c>
      <c r="L90" s="643">
        <v>7.4999999999999997E-3</v>
      </c>
      <c r="M90" s="284">
        <f>782658.5+52177.25+52177.25+52177.25+52177.25</f>
        <v>991367.5</v>
      </c>
      <c r="N90" s="284">
        <f>538816.19+16480.36+16284.66+16088.46</f>
        <v>587669.66999999993</v>
      </c>
      <c r="O90" s="286">
        <f t="shared" si="4"/>
        <v>4226357.5</v>
      </c>
      <c r="P90" s="500" t="s">
        <v>111</v>
      </c>
      <c r="Q90" s="369" t="s">
        <v>428</v>
      </c>
      <c r="S90" s="2"/>
    </row>
    <row r="91" spans="1:19" ht="55.5" customHeight="1" outlineLevel="1" x14ac:dyDescent="0.25">
      <c r="A91" s="506"/>
      <c r="B91" s="567"/>
      <c r="C91" s="507"/>
      <c r="D91" s="507"/>
      <c r="E91" s="579"/>
      <c r="F91" s="616" t="s">
        <v>405</v>
      </c>
      <c r="G91" s="507"/>
      <c r="H91" s="282" t="s">
        <v>203</v>
      </c>
      <c r="I91" s="282" t="s">
        <v>51</v>
      </c>
      <c r="J91" s="283">
        <v>93025000</v>
      </c>
      <c r="K91" s="284">
        <v>93025000</v>
      </c>
      <c r="L91" s="643">
        <v>7.4999999999999997E-3</v>
      </c>
      <c r="M91" s="284">
        <f>13953750+930250+930250+930250+930250</f>
        <v>17674750</v>
      </c>
      <c r="N91" s="284">
        <f>9237334.28+296030+287830+287830</f>
        <v>10109024.279999999</v>
      </c>
      <c r="O91" s="286">
        <f t="shared" si="4"/>
        <v>75350250</v>
      </c>
      <c r="P91" s="507"/>
      <c r="Q91" s="644" t="s">
        <v>428</v>
      </c>
      <c r="S91" s="2"/>
    </row>
    <row r="92" spans="1:19" ht="81" outlineLevel="1" x14ac:dyDescent="0.25">
      <c r="A92" s="225">
        <v>53</v>
      </c>
      <c r="B92" s="499" t="s">
        <v>232</v>
      </c>
      <c r="C92" s="553" t="s">
        <v>156</v>
      </c>
      <c r="D92" s="553" t="s">
        <v>8</v>
      </c>
      <c r="E92" s="553"/>
      <c r="F92" s="616" t="s">
        <v>405</v>
      </c>
      <c r="G92" s="282" t="s">
        <v>204</v>
      </c>
      <c r="H92" s="282" t="s">
        <v>205</v>
      </c>
      <c r="I92" s="282" t="s">
        <v>26</v>
      </c>
      <c r="J92" s="283">
        <v>1989000</v>
      </c>
      <c r="K92" s="284">
        <v>1989000</v>
      </c>
      <c r="L92" s="643">
        <v>7.4999999999999997E-3</v>
      </c>
      <c r="M92" s="284">
        <f>337118.7+33711.86+33711.86+33711.86+33712</f>
        <v>471966.27999999997</v>
      </c>
      <c r="N92" s="284">
        <f>177150.18+6084.76+5957.99+5831.23</f>
        <v>195024.16</v>
      </c>
      <c r="O92" s="286">
        <f t="shared" si="4"/>
        <v>1517033.72</v>
      </c>
      <c r="P92" s="288" t="s">
        <v>111</v>
      </c>
      <c r="Q92" s="370" t="s">
        <v>428</v>
      </c>
      <c r="S92" s="2"/>
    </row>
    <row r="93" spans="1:19" ht="94.5" outlineLevel="1" x14ac:dyDescent="0.25">
      <c r="A93" s="225">
        <v>54</v>
      </c>
      <c r="B93" s="499" t="s">
        <v>383</v>
      </c>
      <c r="C93" s="553" t="s">
        <v>384</v>
      </c>
      <c r="D93" s="553" t="s">
        <v>8</v>
      </c>
      <c r="E93" s="553"/>
      <c r="F93" s="616" t="s">
        <v>405</v>
      </c>
      <c r="G93" s="553" t="s">
        <v>385</v>
      </c>
      <c r="H93" s="553" t="s">
        <v>386</v>
      </c>
      <c r="I93" s="282" t="s">
        <v>51</v>
      </c>
      <c r="J93" s="283">
        <v>2047212646</v>
      </c>
      <c r="K93" s="619">
        <v>2047212646</v>
      </c>
      <c r="L93" s="643">
        <v>0.02</v>
      </c>
      <c r="M93" s="284">
        <v>0</v>
      </c>
      <c r="N93" s="284">
        <f>88017538.4+20640391+20640391+20303862+20640391</f>
        <v>170242573.40000001</v>
      </c>
      <c r="O93" s="286">
        <f t="shared" si="4"/>
        <v>2047212646</v>
      </c>
      <c r="P93" s="288" t="s">
        <v>111</v>
      </c>
      <c r="Q93" s="370" t="s">
        <v>428</v>
      </c>
      <c r="S93" s="2"/>
    </row>
    <row r="94" spans="1:19" ht="144" customHeight="1" outlineLevel="1" x14ac:dyDescent="0.25">
      <c r="A94" s="575">
        <v>55</v>
      </c>
      <c r="B94" s="499" t="s">
        <v>225</v>
      </c>
      <c r="C94" s="553" t="s">
        <v>226</v>
      </c>
      <c r="D94" s="553" t="s">
        <v>106</v>
      </c>
      <c r="E94" s="553"/>
      <c r="F94" s="553" t="s">
        <v>405</v>
      </c>
      <c r="G94" s="553" t="s">
        <v>426</v>
      </c>
      <c r="H94" s="553" t="s">
        <v>227</v>
      </c>
      <c r="I94" s="282" t="s">
        <v>26</v>
      </c>
      <c r="J94" s="283">
        <v>2217000</v>
      </c>
      <c r="K94" s="283">
        <v>2217000</v>
      </c>
      <c r="L94" s="285">
        <v>0.02</v>
      </c>
      <c r="M94" s="284">
        <f>1656550.78+18166.04+7000680/387.28+18122.86+18122.86+32122.86+28837.1+8000+8000+8000+20000+20000+20000+20000+20000+19994.32+20000+20000+8000</f>
        <v>1981993.3537740142</v>
      </c>
      <c r="N94" s="284">
        <f>133182.536922389+1443.51+1358.52+1365.7+1287.6+1303.23</f>
        <v>139941.09692238903</v>
      </c>
      <c r="O94" s="286">
        <f t="shared" si="4"/>
        <v>235006.64622598584</v>
      </c>
      <c r="P94" s="288" t="s">
        <v>228</v>
      </c>
      <c r="Q94" s="370" t="s">
        <v>428</v>
      </c>
      <c r="S94" s="2"/>
    </row>
    <row r="95" spans="1:19" ht="128.25" customHeight="1" outlineLevel="1" x14ac:dyDescent="0.25">
      <c r="A95" s="225">
        <v>56</v>
      </c>
      <c r="B95" s="495" t="s">
        <v>387</v>
      </c>
      <c r="C95" s="282" t="s">
        <v>388</v>
      </c>
      <c r="D95" s="282" t="s">
        <v>52</v>
      </c>
      <c r="E95" s="282"/>
      <c r="F95" s="368" t="s">
        <v>430</v>
      </c>
      <c r="G95" s="282" t="s">
        <v>391</v>
      </c>
      <c r="H95" s="553" t="s">
        <v>398</v>
      </c>
      <c r="I95" s="282" t="s">
        <v>30</v>
      </c>
      <c r="J95" s="283">
        <f>4199559.68+12720691.2+1113060.48+1966688.64</f>
        <v>20000000</v>
      </c>
      <c r="K95" s="283">
        <f>J95</f>
        <v>20000000</v>
      </c>
      <c r="L95" s="285" t="s">
        <v>390</v>
      </c>
      <c r="M95" s="284"/>
      <c r="N95" s="645">
        <f>77849.88+103888.1+413918.01+520635+494848.41</f>
        <v>1611139.4</v>
      </c>
      <c r="O95" s="286">
        <f t="shared" si="4"/>
        <v>20000000</v>
      </c>
      <c r="P95" s="288" t="s">
        <v>392</v>
      </c>
      <c r="Q95" s="369" t="s">
        <v>428</v>
      </c>
      <c r="S95" s="2"/>
    </row>
    <row r="96" spans="1:19" s="6" customFormat="1" ht="59.25" customHeight="1" outlineLevel="1" x14ac:dyDescent="0.25">
      <c r="A96" s="575"/>
      <c r="B96" s="499" t="s">
        <v>474</v>
      </c>
      <c r="C96" s="553"/>
      <c r="D96" s="282" t="s">
        <v>414</v>
      </c>
      <c r="E96" s="282" t="s">
        <v>479</v>
      </c>
      <c r="F96" s="368" t="s">
        <v>405</v>
      </c>
      <c r="G96" s="282" t="s">
        <v>479</v>
      </c>
      <c r="H96" s="282" t="s">
        <v>484</v>
      </c>
      <c r="I96" s="282" t="s">
        <v>51</v>
      </c>
      <c r="J96" s="284">
        <v>250000000</v>
      </c>
      <c r="K96" s="284">
        <v>250000000</v>
      </c>
      <c r="L96" s="505"/>
      <c r="M96" s="619"/>
      <c r="N96" s="619"/>
      <c r="O96" s="585"/>
      <c r="P96" s="288"/>
      <c r="Q96" s="369" t="s">
        <v>433</v>
      </c>
      <c r="R96" s="5"/>
      <c r="S96" s="2"/>
    </row>
    <row r="97" spans="1:19" s="215" customFormat="1" ht="38.25" customHeight="1" outlineLevel="1" x14ac:dyDescent="0.25">
      <c r="A97" s="498">
        <v>57</v>
      </c>
      <c r="B97" s="566" t="s">
        <v>206</v>
      </c>
      <c r="C97" s="500" t="s">
        <v>164</v>
      </c>
      <c r="D97" s="500"/>
      <c r="E97" s="579"/>
      <c r="F97" s="646"/>
      <c r="G97" s="555" t="s">
        <v>207</v>
      </c>
      <c r="H97" s="555" t="s">
        <v>208</v>
      </c>
      <c r="I97" s="503" t="s">
        <v>26</v>
      </c>
      <c r="J97" s="516">
        <v>237758.39</v>
      </c>
      <c r="K97" s="284">
        <v>237758.39</v>
      </c>
      <c r="L97" s="565"/>
      <c r="M97" s="284"/>
      <c r="N97" s="284"/>
      <c r="O97" s="516">
        <f t="shared" si="4"/>
        <v>237758.39</v>
      </c>
      <c r="P97" s="500" t="s">
        <v>111</v>
      </c>
      <c r="Q97" s="369" t="s">
        <v>428</v>
      </c>
      <c r="R97" s="214"/>
      <c r="S97" s="2"/>
    </row>
    <row r="98" spans="1:19" s="215" customFormat="1" ht="45" customHeight="1" outlineLevel="1" x14ac:dyDescent="0.25">
      <c r="A98" s="506"/>
      <c r="B98" s="567"/>
      <c r="C98" s="507"/>
      <c r="D98" s="507"/>
      <c r="E98" s="367"/>
      <c r="F98" s="367"/>
      <c r="G98" s="557"/>
      <c r="H98" s="557"/>
      <c r="I98" s="618" t="s">
        <v>51</v>
      </c>
      <c r="J98" s="647">
        <v>28883700</v>
      </c>
      <c r="K98" s="284">
        <v>28883700</v>
      </c>
      <c r="L98" s="505"/>
      <c r="M98" s="284"/>
      <c r="N98" s="284"/>
      <c r="O98" s="516">
        <f t="shared" si="4"/>
        <v>28883700</v>
      </c>
      <c r="P98" s="507"/>
      <c r="Q98" s="518" t="s">
        <v>428</v>
      </c>
      <c r="R98" s="214"/>
      <c r="S98" s="2"/>
    </row>
    <row r="99" spans="1:19" s="6" customFormat="1" ht="59.25" customHeight="1" outlineLevel="1" x14ac:dyDescent="0.25">
      <c r="A99" s="575">
        <v>58</v>
      </c>
      <c r="B99" s="499" t="s">
        <v>175</v>
      </c>
      <c r="C99" s="553" t="s">
        <v>151</v>
      </c>
      <c r="D99" s="282" t="s">
        <v>414</v>
      </c>
      <c r="E99" s="282"/>
      <c r="F99" s="368"/>
      <c r="G99" s="282" t="s">
        <v>104</v>
      </c>
      <c r="H99" s="282" t="s">
        <v>105</v>
      </c>
      <c r="I99" s="282" t="s">
        <v>51</v>
      </c>
      <c r="J99" s="284">
        <v>303444194</v>
      </c>
      <c r="K99" s="619">
        <v>303444194</v>
      </c>
      <c r="L99" s="505"/>
      <c r="M99" s="619"/>
      <c r="N99" s="619"/>
      <c r="O99" s="585">
        <f t="shared" si="4"/>
        <v>303444194</v>
      </c>
      <c r="P99" s="288" t="s">
        <v>111</v>
      </c>
      <c r="Q99" s="369" t="s">
        <v>483</v>
      </c>
      <c r="R99" s="5"/>
      <c r="S99" s="2"/>
    </row>
    <row r="100" spans="1:19" s="2" customFormat="1" ht="54.75" customHeight="1" outlineLevel="1" x14ac:dyDescent="0.25">
      <c r="A100" s="575"/>
      <c r="B100" s="499" t="s">
        <v>464</v>
      </c>
      <c r="C100" s="553" t="s">
        <v>151</v>
      </c>
      <c r="D100" s="282" t="s">
        <v>414</v>
      </c>
      <c r="E100" s="282"/>
      <c r="F100" s="368"/>
      <c r="G100" s="282" t="s">
        <v>466</v>
      </c>
      <c r="H100" s="282" t="s">
        <v>465</v>
      </c>
      <c r="I100" s="503" t="s">
        <v>51</v>
      </c>
      <c r="J100" s="284">
        <v>29938264</v>
      </c>
      <c r="K100" s="284">
        <v>29938264</v>
      </c>
      <c r="L100" s="556"/>
      <c r="M100" s="284">
        <f>9000000+1000000+1000000+800000+200000+1000000</f>
        <v>13000000</v>
      </c>
      <c r="N100" s="284"/>
      <c r="O100" s="585">
        <f t="shared" si="4"/>
        <v>16938264</v>
      </c>
      <c r="P100" s="288" t="s">
        <v>111</v>
      </c>
      <c r="Q100" s="518" t="s">
        <v>428</v>
      </c>
      <c r="R100" s="10"/>
    </row>
    <row r="101" spans="1:19" s="2" customFormat="1" ht="88.5" customHeight="1" outlineLevel="1" x14ac:dyDescent="0.25">
      <c r="A101" s="575"/>
      <c r="B101" s="499" t="s">
        <v>467</v>
      </c>
      <c r="C101" s="553" t="s">
        <v>468</v>
      </c>
      <c r="D101" s="282" t="s">
        <v>414</v>
      </c>
      <c r="E101" s="282"/>
      <c r="F101" s="368" t="s">
        <v>405</v>
      </c>
      <c r="G101" s="282" t="s">
        <v>480</v>
      </c>
      <c r="H101" s="282" t="s">
        <v>481</v>
      </c>
      <c r="I101" s="503" t="s">
        <v>51</v>
      </c>
      <c r="J101" s="284">
        <v>1343651100</v>
      </c>
      <c r="K101" s="284">
        <v>1343651100</v>
      </c>
      <c r="L101" s="556">
        <v>7.2499999999999995E-2</v>
      </c>
      <c r="M101" s="284"/>
      <c r="N101" s="284"/>
      <c r="O101" s="585">
        <f t="shared" si="4"/>
        <v>1343651100</v>
      </c>
      <c r="P101" s="288" t="s">
        <v>111</v>
      </c>
      <c r="Q101" s="518" t="s">
        <v>433</v>
      </c>
      <c r="R101" s="10"/>
    </row>
    <row r="102" spans="1:19" ht="82.5" customHeight="1" x14ac:dyDescent="0.25">
      <c r="A102" s="225">
        <v>59</v>
      </c>
      <c r="B102" s="495" t="s">
        <v>404</v>
      </c>
      <c r="C102" s="282" t="s">
        <v>405</v>
      </c>
      <c r="D102" s="282" t="s">
        <v>414</v>
      </c>
      <c r="E102" s="282"/>
      <c r="F102" s="282" t="s">
        <v>405</v>
      </c>
      <c r="G102" s="282" t="s">
        <v>406</v>
      </c>
      <c r="H102" s="282" t="s">
        <v>407</v>
      </c>
      <c r="I102" s="282" t="s">
        <v>51</v>
      </c>
      <c r="J102" s="284">
        <v>1600000000</v>
      </c>
      <c r="K102" s="497">
        <v>1600000000</v>
      </c>
      <c r="L102" s="514">
        <v>0.06</v>
      </c>
      <c r="M102" s="497">
        <f>16666667+16666667</f>
        <v>33333334</v>
      </c>
      <c r="N102" s="497">
        <f>14728767+7827397</f>
        <v>22556164</v>
      </c>
      <c r="O102" s="516">
        <f t="shared" si="4"/>
        <v>1566666666</v>
      </c>
      <c r="P102" s="282" t="s">
        <v>408</v>
      </c>
      <c r="Q102" s="369" t="s">
        <v>433</v>
      </c>
      <c r="S102" s="2"/>
    </row>
    <row r="103" spans="1:19" ht="155.25" customHeight="1" x14ac:dyDescent="0.25">
      <c r="A103" s="511">
        <v>60</v>
      </c>
      <c r="B103" s="512" t="s">
        <v>422</v>
      </c>
      <c r="C103" s="282" t="s">
        <v>405</v>
      </c>
      <c r="D103" s="282" t="s">
        <v>414</v>
      </c>
      <c r="E103" s="367"/>
      <c r="F103" s="513" t="s">
        <v>405</v>
      </c>
      <c r="G103" s="367"/>
      <c r="H103" s="282" t="s">
        <v>423</v>
      </c>
      <c r="I103" s="282" t="s">
        <v>51</v>
      </c>
      <c r="J103" s="287">
        <v>3500000000</v>
      </c>
      <c r="K103" s="287">
        <v>3500000000</v>
      </c>
      <c r="L103" s="514">
        <v>0.08</v>
      </c>
      <c r="M103" s="515"/>
      <c r="N103" s="515"/>
      <c r="O103" s="516">
        <f t="shared" si="4"/>
        <v>3500000000</v>
      </c>
      <c r="P103" s="517" t="s">
        <v>424</v>
      </c>
      <c r="Q103" s="518" t="s">
        <v>428</v>
      </c>
      <c r="S103" s="2"/>
    </row>
    <row r="104" spans="1:19" s="6" customFormat="1" ht="47.25" customHeight="1" outlineLevel="1" x14ac:dyDescent="0.25">
      <c r="A104" s="511">
        <v>61</v>
      </c>
      <c r="B104" s="367" t="s">
        <v>425</v>
      </c>
      <c r="C104" s="367" t="s">
        <v>405</v>
      </c>
      <c r="D104" s="367" t="s">
        <v>414</v>
      </c>
      <c r="E104" s="367"/>
      <c r="F104" s="513" t="s">
        <v>405</v>
      </c>
      <c r="G104" s="519" t="s">
        <v>410</v>
      </c>
      <c r="H104" s="367" t="s">
        <v>242</v>
      </c>
      <c r="I104" s="367" t="s">
        <v>51</v>
      </c>
      <c r="J104" s="287">
        <v>2000000000</v>
      </c>
      <c r="K104" s="287">
        <v>2000000000</v>
      </c>
      <c r="L104" s="520">
        <v>1E-4</v>
      </c>
      <c r="M104" s="287">
        <f>122220000+82500000+82500000</f>
        <v>287220000</v>
      </c>
      <c r="N104" s="287">
        <f>175890.410958904+56590.6+7869.7</f>
        <v>240350.710958904</v>
      </c>
      <c r="O104" s="521">
        <f t="shared" si="4"/>
        <v>1712780000</v>
      </c>
      <c r="P104" s="517" t="s">
        <v>411</v>
      </c>
      <c r="Q104" s="518" t="s">
        <v>428</v>
      </c>
      <c r="R104" s="5"/>
      <c r="S104" s="2"/>
    </row>
    <row r="105" spans="1:19" s="6" customFormat="1" ht="47.25" customHeight="1" outlineLevel="1" x14ac:dyDescent="0.25">
      <c r="A105" s="511">
        <v>62</v>
      </c>
      <c r="B105" s="367" t="s">
        <v>149</v>
      </c>
      <c r="C105" s="367" t="s">
        <v>150</v>
      </c>
      <c r="D105" s="367" t="s">
        <v>418</v>
      </c>
      <c r="E105" s="367"/>
      <c r="F105" s="513" t="s">
        <v>405</v>
      </c>
      <c r="G105" s="519" t="s">
        <v>217</v>
      </c>
      <c r="H105" s="367" t="s">
        <v>331</v>
      </c>
      <c r="I105" s="367" t="s">
        <v>26</v>
      </c>
      <c r="J105" s="287">
        <v>10000000</v>
      </c>
      <c r="K105" s="287">
        <v>10000000</v>
      </c>
      <c r="L105" s="520" t="s">
        <v>333</v>
      </c>
      <c r="M105" s="287">
        <f>2553676.86+827369</f>
        <v>3381045.86</v>
      </c>
      <c r="N105" s="287">
        <f>3533579.15874841+18816925/512.41+16022937.4/426.85+37537.63+37130+36723+37538+'[2]15,08,20 գործող'!$I$55+'[2]15,08,20 գործող'!$I$56+121181+150151+150151+148518.45</f>
        <v>4401844.9204706866</v>
      </c>
      <c r="O105" s="521">
        <f>K105-M105</f>
        <v>6618954.1400000006</v>
      </c>
      <c r="P105" s="517" t="s">
        <v>303</v>
      </c>
      <c r="Q105" s="518" t="s">
        <v>428</v>
      </c>
      <c r="R105" s="5"/>
      <c r="S105" s="2"/>
    </row>
    <row r="106" spans="1:19" s="6" customFormat="1" ht="51" customHeight="1" outlineLevel="1" thickBot="1" x14ac:dyDescent="0.3">
      <c r="A106" s="225">
        <v>63</v>
      </c>
      <c r="B106" s="282" t="s">
        <v>149</v>
      </c>
      <c r="C106" s="522" t="s">
        <v>434</v>
      </c>
      <c r="D106" s="522" t="s">
        <v>418</v>
      </c>
      <c r="E106" s="522"/>
      <c r="F106" s="523" t="s">
        <v>405</v>
      </c>
      <c r="G106" s="524" t="s">
        <v>209</v>
      </c>
      <c r="H106" s="522" t="s">
        <v>302</v>
      </c>
      <c r="I106" s="522" t="s">
        <v>51</v>
      </c>
      <c r="J106" s="284">
        <v>8000000000</v>
      </c>
      <c r="K106" s="284">
        <v>8000000000</v>
      </c>
      <c r="L106" s="290" t="s">
        <v>332</v>
      </c>
      <c r="M106" s="284"/>
      <c r="N106" s="284">
        <f>3496438357+79342466+80657534+79342466+79342466+1315069+216021918+419419179</f>
        <v>4451879455</v>
      </c>
      <c r="O106" s="286">
        <f>K106-M106</f>
        <v>8000000000</v>
      </c>
      <c r="P106" s="291" t="s">
        <v>301</v>
      </c>
      <c r="Q106" s="369" t="s">
        <v>428</v>
      </c>
      <c r="R106" s="5"/>
      <c r="S106" s="2"/>
    </row>
    <row r="107" spans="1:19" s="594" customFormat="1" ht="24.75" customHeight="1" x14ac:dyDescent="0.25">
      <c r="A107" s="587" t="s">
        <v>161</v>
      </c>
      <c r="B107" s="588"/>
      <c r="C107" s="589"/>
      <c r="F107" s="639"/>
      <c r="G107" s="639"/>
      <c r="H107" s="639"/>
      <c r="I107" s="639" t="s">
        <v>30</v>
      </c>
      <c r="J107" s="625">
        <f>SUMIF($I$77:$I$106,I107,$J$77:$J$106)</f>
        <v>41500000</v>
      </c>
      <c r="K107" s="625">
        <f>SUMIF($I$77:$I$106,I107,$K$77:$K$106)</f>
        <v>23272189.77</v>
      </c>
      <c r="L107" s="625"/>
      <c r="M107" s="625">
        <f>SUMIF($I$77:$I$106,I107,$M$77:$M$106)</f>
        <v>36360.221703756208</v>
      </c>
      <c r="N107" s="625">
        <f>SUMIF($I$77:$I$106,I107,$N$77:$N$106)</f>
        <v>1819326.2698881822</v>
      </c>
      <c r="O107" s="625">
        <f>SUMIF($I$77:$I$106,I107,$O$77:$O$106)</f>
        <v>23235829.548296243</v>
      </c>
      <c r="P107" s="592"/>
      <c r="Q107" s="593"/>
      <c r="R107" s="10"/>
      <c r="S107" s="2"/>
    </row>
    <row r="108" spans="1:19" s="594" customFormat="1" ht="39" customHeight="1" x14ac:dyDescent="0.25">
      <c r="A108" s="595"/>
      <c r="B108" s="596"/>
      <c r="C108" s="597"/>
      <c r="D108" s="562"/>
      <c r="E108" s="562"/>
      <c r="F108" s="598"/>
      <c r="G108" s="598"/>
      <c r="H108" s="598"/>
      <c r="I108" s="598" t="s">
        <v>51</v>
      </c>
      <c r="J108" s="599">
        <f>SUMIF($I$77:$I$106,I108,$J$77:$J$106)</f>
        <v>21824577872.200001</v>
      </c>
      <c r="K108" s="599">
        <f>SUMIF($I$77:$I$106,I108,$K$77:$K$106)</f>
        <v>21951536188</v>
      </c>
      <c r="L108" s="599"/>
      <c r="M108" s="599">
        <f>SUMIF($I$77:$I$106,I108,$M$77:$M$106)</f>
        <v>482840976.89999998</v>
      </c>
      <c r="N108" s="599">
        <f>SUMIF($I$77:$I$106,I108,$N$77:$N$106)</f>
        <v>4687146801.8909588</v>
      </c>
      <c r="O108" s="599">
        <f>SUMIF($I$77:$I$106,I108,$O$77:$O$106)</f>
        <v>21218695211.099998</v>
      </c>
      <c r="P108" s="600"/>
      <c r="Q108" s="601"/>
      <c r="R108" s="10"/>
      <c r="S108" s="2"/>
    </row>
    <row r="109" spans="1:19" s="594" customFormat="1" ht="39" customHeight="1" x14ac:dyDescent="0.25">
      <c r="A109" s="595"/>
      <c r="B109" s="596"/>
      <c r="C109" s="597"/>
      <c r="D109" s="562"/>
      <c r="E109" s="562"/>
      <c r="F109" s="598"/>
      <c r="G109" s="598"/>
      <c r="H109" s="598"/>
      <c r="I109" s="598" t="s">
        <v>26</v>
      </c>
      <c r="J109" s="599">
        <f>SUMIF($I$77:$I$106,I109,$J$77:$J$106)</f>
        <v>32967799.48</v>
      </c>
      <c r="K109" s="599">
        <f>SUMIF($I$77:$I$106,I109,$K$77:$K$106)</f>
        <v>30293150.079999998</v>
      </c>
      <c r="L109" s="599"/>
      <c r="M109" s="599">
        <f>SUMIF($I$77:$I$106,I109,$M$77:$M$106)</f>
        <v>10844060.419940032</v>
      </c>
      <c r="N109" s="599">
        <f>SUMIF($I$77:$I$106,I109,$N$77:$N$106)</f>
        <v>6753930.7083668085</v>
      </c>
      <c r="O109" s="599">
        <f>SUMIF($I$77:$I$106,I109,$O$77:$O$106)</f>
        <v>19449089.660059966</v>
      </c>
      <c r="P109" s="600"/>
      <c r="Q109" s="601"/>
      <c r="R109" s="10"/>
      <c r="S109" s="2"/>
    </row>
    <row r="110" spans="1:19" s="594" customFormat="1" ht="39" customHeight="1" thickBot="1" x14ac:dyDescent="0.3">
      <c r="A110" s="606"/>
      <c r="B110" s="607"/>
      <c r="C110" s="608"/>
      <c r="D110" s="562"/>
      <c r="E110" s="562"/>
      <c r="F110" s="598"/>
      <c r="G110" s="598"/>
      <c r="H110" s="598"/>
      <c r="I110" s="609" t="s">
        <v>18</v>
      </c>
      <c r="J110" s="613">
        <f>SUMIF($I$77:$I$106,I110,$J$77:$J$106)</f>
        <v>0</v>
      </c>
      <c r="K110" s="613">
        <f>SUMIF($I$77:$I$106,I110,$K$77:$K$106)</f>
        <v>0</v>
      </c>
      <c r="L110" s="613"/>
      <c r="M110" s="613">
        <f>SUMIF($I$77:$I$106,I110,$M$77:$M$106)</f>
        <v>0</v>
      </c>
      <c r="N110" s="613">
        <f>SUMIF($I$77:$I$106,I110,$N$77:$N$106)</f>
        <v>0</v>
      </c>
      <c r="O110" s="613">
        <f>SUMIF($I$77:$I$106,I110,$O$77:$O$106)</f>
        <v>0</v>
      </c>
      <c r="P110" s="614"/>
      <c r="Q110" s="615"/>
      <c r="R110" s="10"/>
      <c r="S110" s="2"/>
    </row>
    <row r="111" spans="1:19" s="215" customFormat="1" ht="156.75" customHeight="1" outlineLevel="1" x14ac:dyDescent="0.25">
      <c r="A111" s="225">
        <v>64</v>
      </c>
      <c r="B111" s="553" t="s">
        <v>325</v>
      </c>
      <c r="C111" s="553" t="s">
        <v>267</v>
      </c>
      <c r="D111" s="579" t="s">
        <v>414</v>
      </c>
      <c r="E111" s="579"/>
      <c r="F111" s="646"/>
      <c r="G111" s="646" t="s">
        <v>335</v>
      </c>
      <c r="H111" s="646" t="s">
        <v>348</v>
      </c>
      <c r="I111" s="282" t="s">
        <v>51</v>
      </c>
      <c r="J111" s="647">
        <f>3047000000+3000000000</f>
        <v>6047000000</v>
      </c>
      <c r="K111" s="497">
        <v>6000000000</v>
      </c>
      <c r="L111" s="505"/>
      <c r="M111" s="497">
        <f>4439902959+260956717.5+995441267.7+73262192.2+103703140+88648827.6+23704487.9+9999937.1+167000+1814495.5+405741.8+291594+193389.5+167000</f>
        <v>5998658749.8000002</v>
      </c>
      <c r="N111" s="497"/>
      <c r="O111" s="619">
        <f t="shared" ref="O111:O116" si="5">K111-M111</f>
        <v>1341250.1999998093</v>
      </c>
      <c r="P111" s="648" t="s">
        <v>111</v>
      </c>
      <c r="Q111" s="649" t="s">
        <v>433</v>
      </c>
      <c r="R111" s="214"/>
      <c r="S111" s="2"/>
    </row>
    <row r="112" spans="1:19" s="215" customFormat="1" ht="147" customHeight="1" outlineLevel="1" x14ac:dyDescent="0.25">
      <c r="A112" s="225">
        <v>65</v>
      </c>
      <c r="B112" s="553" t="s">
        <v>325</v>
      </c>
      <c r="C112" s="500" t="s">
        <v>321</v>
      </c>
      <c r="D112" s="553" t="s">
        <v>414</v>
      </c>
      <c r="E112" s="553"/>
      <c r="F112" s="616"/>
      <c r="G112" s="616" t="s">
        <v>421</v>
      </c>
      <c r="H112" s="616" t="s">
        <v>323</v>
      </c>
      <c r="I112" s="282" t="s">
        <v>51</v>
      </c>
      <c r="J112" s="284">
        <v>2000000000</v>
      </c>
      <c r="K112" s="497">
        <v>2000000000</v>
      </c>
      <c r="L112" s="565">
        <v>2.7E-2</v>
      </c>
      <c r="M112" s="497"/>
      <c r="N112" s="286">
        <f>68417269.8+13462993.2+49643.9+1421840.5+38566246.5+491534.9+1119195.4+178355+29883.2+10588.6+3022.3</f>
        <v>123750573.30000001</v>
      </c>
      <c r="O112" s="286">
        <f t="shared" si="5"/>
        <v>2000000000</v>
      </c>
      <c r="P112" s="648" t="s">
        <v>111</v>
      </c>
      <c r="Q112" s="650" t="s">
        <v>433</v>
      </c>
      <c r="R112" s="214"/>
      <c r="S112" s="2"/>
    </row>
    <row r="113" spans="1:19" s="215" customFormat="1" ht="144.75" customHeight="1" outlineLevel="1" x14ac:dyDescent="0.25">
      <c r="A113" s="225">
        <v>66</v>
      </c>
      <c r="B113" s="553" t="s">
        <v>325</v>
      </c>
      <c r="C113" s="560"/>
      <c r="D113" s="550" t="s">
        <v>414</v>
      </c>
      <c r="E113" s="550"/>
      <c r="F113" s="368"/>
      <c r="G113" s="616" t="s">
        <v>420</v>
      </c>
      <c r="H113" s="616" t="s">
        <v>324</v>
      </c>
      <c r="I113" s="367" t="s">
        <v>51</v>
      </c>
      <c r="J113" s="284">
        <v>2000000000</v>
      </c>
      <c r="K113" s="497">
        <v>2000000000</v>
      </c>
      <c r="L113" s="651">
        <v>5.7000000000000002E-2</v>
      </c>
      <c r="M113" s="497"/>
      <c r="N113" s="497">
        <f>153819379.6+28421448.8+780809.1+528470.5+2614769.3+283790.1+5159868.8+1406739.9</f>
        <v>193015276.10000002</v>
      </c>
      <c r="O113" s="286">
        <f t="shared" si="5"/>
        <v>2000000000</v>
      </c>
      <c r="P113" s="648" t="s">
        <v>111</v>
      </c>
      <c r="Q113" s="650" t="s">
        <v>433</v>
      </c>
      <c r="R113" s="214"/>
      <c r="S113" s="2"/>
    </row>
    <row r="114" spans="1:19" s="215" customFormat="1" ht="168" customHeight="1" outlineLevel="1" x14ac:dyDescent="0.25">
      <c r="A114" s="225">
        <v>67</v>
      </c>
      <c r="B114" s="548" t="s">
        <v>325</v>
      </c>
      <c r="C114" s="507"/>
      <c r="D114" s="517"/>
      <c r="E114" s="517"/>
      <c r="F114" s="652"/>
      <c r="G114" s="368" t="s">
        <v>419</v>
      </c>
      <c r="H114" s="368" t="s">
        <v>353</v>
      </c>
      <c r="I114" s="367" t="s">
        <v>51</v>
      </c>
      <c r="J114" s="284">
        <v>5000000000</v>
      </c>
      <c r="K114" s="497">
        <v>5000000000</v>
      </c>
      <c r="L114" s="565">
        <v>2.7E-2</v>
      </c>
      <c r="M114" s="497"/>
      <c r="N114" s="497">
        <f>34209157.5+76580313.4+83507353.3+1840160.7</f>
        <v>196136984.89999998</v>
      </c>
      <c r="O114" s="286">
        <f t="shared" si="5"/>
        <v>5000000000</v>
      </c>
      <c r="P114" s="627" t="s">
        <v>111</v>
      </c>
      <c r="Q114" s="628" t="s">
        <v>433</v>
      </c>
      <c r="R114" s="214"/>
      <c r="S114" s="2"/>
    </row>
    <row r="115" spans="1:19" s="215" customFormat="1" ht="162" outlineLevel="1" x14ac:dyDescent="0.25">
      <c r="A115" s="511">
        <v>68</v>
      </c>
      <c r="B115" s="579" t="s">
        <v>272</v>
      </c>
      <c r="C115" s="579" t="s">
        <v>273</v>
      </c>
      <c r="D115" s="579" t="s">
        <v>414</v>
      </c>
      <c r="E115" s="579"/>
      <c r="F115" s="646"/>
      <c r="G115" s="646" t="s">
        <v>328</v>
      </c>
      <c r="H115" s="646" t="s">
        <v>327</v>
      </c>
      <c r="I115" s="367" t="s">
        <v>51</v>
      </c>
      <c r="J115" s="287">
        <v>562500000</v>
      </c>
      <c r="K115" s="515">
        <v>562500000</v>
      </c>
      <c r="L115" s="651"/>
      <c r="M115" s="515"/>
      <c r="N115" s="515"/>
      <c r="O115" s="578">
        <f t="shared" si="5"/>
        <v>562500000</v>
      </c>
      <c r="P115" s="653" t="s">
        <v>111</v>
      </c>
      <c r="Q115" s="649" t="s">
        <v>433</v>
      </c>
      <c r="R115" s="214"/>
      <c r="S115" s="2"/>
    </row>
    <row r="116" spans="1:19" s="215" customFormat="1" ht="95.25" outlineLevel="1" thickBot="1" x14ac:dyDescent="0.3">
      <c r="A116" s="630">
        <v>69</v>
      </c>
      <c r="B116" s="522" t="s">
        <v>272</v>
      </c>
      <c r="C116" s="522" t="s">
        <v>326</v>
      </c>
      <c r="D116" s="522" t="s">
        <v>414</v>
      </c>
      <c r="E116" s="522"/>
      <c r="F116" s="523"/>
      <c r="G116" s="523"/>
      <c r="H116" s="523" t="s">
        <v>401</v>
      </c>
      <c r="I116" s="522" t="s">
        <v>51</v>
      </c>
      <c r="J116" s="634">
        <f>2000000000+7300000000</f>
        <v>9300000000</v>
      </c>
      <c r="K116" s="654">
        <f>9024295000</f>
        <v>9024295000</v>
      </c>
      <c r="L116" s="655"/>
      <c r="M116" s="654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+3005301+408727.2+3440908.5+14162695</f>
        <v>8839883014.5000076</v>
      </c>
      <c r="N116" s="654">
        <f>34040214.6+16030636.8+1797857.1+7375602.5+3983531.1+11814600.3+22459610.6+9668538.8+11671711.4+6908264.6+1329981.6</f>
        <v>127080549.39999999</v>
      </c>
      <c r="O116" s="635">
        <f t="shared" si="5"/>
        <v>184411985.49999237</v>
      </c>
      <c r="P116" s="636" t="s">
        <v>111</v>
      </c>
      <c r="Q116" s="637" t="s">
        <v>433</v>
      </c>
      <c r="R116" s="214"/>
      <c r="S116" s="2"/>
    </row>
    <row r="117" spans="1:19" s="594" customFormat="1" ht="30" customHeight="1" x14ac:dyDescent="0.25">
      <c r="A117" s="587" t="s">
        <v>351</v>
      </c>
      <c r="B117" s="588"/>
      <c r="C117" s="589"/>
      <c r="D117" s="638"/>
      <c r="E117" s="638"/>
      <c r="F117" s="639"/>
      <c r="G117" s="639"/>
      <c r="H117" s="639"/>
      <c r="I117" s="656" t="s">
        <v>30</v>
      </c>
      <c r="J117" s="640">
        <f>SUMIF($I$111:$I$116,I117,$J$111:$J$116)</f>
        <v>0</v>
      </c>
      <c r="K117" s="640">
        <f>SUMIF($I$111:$I$116,I117,$K$111:$K$116)</f>
        <v>0</v>
      </c>
      <c r="L117" s="640"/>
      <c r="M117" s="640">
        <f>SUMIF($I$111:$I$116,I117,$M$111:$M$116)</f>
        <v>0</v>
      </c>
      <c r="N117" s="640">
        <f>SUMIF($I$111:$I$116,I117,$N$111:$N$116)</f>
        <v>0</v>
      </c>
      <c r="O117" s="640">
        <f>SUMIF($I$111:$I$116,I117,$O$111:$O$116)</f>
        <v>0</v>
      </c>
      <c r="P117" s="641"/>
      <c r="Q117" s="593"/>
      <c r="R117" s="214"/>
      <c r="S117" s="2"/>
    </row>
    <row r="118" spans="1:19" s="594" customFormat="1" ht="27" customHeight="1" x14ac:dyDescent="0.25">
      <c r="A118" s="595"/>
      <c r="B118" s="596"/>
      <c r="C118" s="597"/>
      <c r="D118" s="562"/>
      <c r="E118" s="562"/>
      <c r="F118" s="598"/>
      <c r="G118" s="598"/>
      <c r="H118" s="598"/>
      <c r="I118" s="657" t="s">
        <v>51</v>
      </c>
      <c r="J118" s="640">
        <f>SUMIF($I$111:$I$116,I118,$J$111:$J$116)</f>
        <v>24909500000</v>
      </c>
      <c r="K118" s="599">
        <f>SUMIF($I$111:$I$116,I118,$K$111:$K$116)</f>
        <v>24586795000</v>
      </c>
      <c r="L118" s="599"/>
      <c r="M118" s="599">
        <f>SUMIF($I$111:$I$116,I118,$M$111:$M$116)</f>
        <v>14838541764.300007</v>
      </c>
      <c r="N118" s="599">
        <f>SUMIF($I$111:$I$116,I118,$N$111:$N$116)</f>
        <v>639983383.70000005</v>
      </c>
      <c r="O118" s="599">
        <f>SUMIF($I$111:$I$116,I118,$O$111:$O$116)</f>
        <v>9748253235.6999931</v>
      </c>
      <c r="P118" s="600"/>
      <c r="Q118" s="601"/>
      <c r="R118" s="214"/>
      <c r="S118" s="2"/>
    </row>
    <row r="119" spans="1:19" s="594" customFormat="1" ht="28.5" customHeight="1" x14ac:dyDescent="0.25">
      <c r="A119" s="595"/>
      <c r="B119" s="596"/>
      <c r="C119" s="597"/>
      <c r="D119" s="562"/>
      <c r="E119" s="562"/>
      <c r="F119" s="598"/>
      <c r="G119" s="598"/>
      <c r="H119" s="598"/>
      <c r="I119" s="657" t="s">
        <v>26</v>
      </c>
      <c r="J119" s="640">
        <f>SUMIF($I$111:$I$116,I119,$J$111:$J$116)</f>
        <v>0</v>
      </c>
      <c r="K119" s="599">
        <f>SUMIF($I$111:$I$116,I119,$K$111:$K$116)</f>
        <v>0</v>
      </c>
      <c r="L119" s="599"/>
      <c r="M119" s="599">
        <f>SUMIF($I$111:$I$116,I119,$M$111:$M$116)</f>
        <v>0</v>
      </c>
      <c r="N119" s="599">
        <f>SUMIF($I$111:$I$116,I119,$N$111:$N$116)</f>
        <v>0</v>
      </c>
      <c r="O119" s="599">
        <f>SUMIF($I$111:$I$116,I119,$O$111:$O$116)</f>
        <v>0</v>
      </c>
      <c r="P119" s="600"/>
      <c r="Q119" s="601"/>
      <c r="R119" s="10"/>
      <c r="S119" s="2"/>
    </row>
    <row r="120" spans="1:19" s="594" customFormat="1" ht="30" customHeight="1" thickBot="1" x14ac:dyDescent="0.3">
      <c r="A120" s="606"/>
      <c r="B120" s="607"/>
      <c r="C120" s="608"/>
      <c r="D120" s="626"/>
      <c r="E120" s="626"/>
      <c r="F120" s="609"/>
      <c r="G120" s="609"/>
      <c r="H120" s="609"/>
      <c r="I120" s="612" t="s">
        <v>18</v>
      </c>
      <c r="J120" s="613">
        <f>SUMIF($I$111:$I$116,I120,$J$111:$J$116)</f>
        <v>0</v>
      </c>
      <c r="K120" s="613">
        <f>SUMIF($I$111:$I$116,I120,$K$111:$K$116)</f>
        <v>0</v>
      </c>
      <c r="L120" s="613"/>
      <c r="M120" s="613">
        <f>SUMIF($I$111:$I$116,I120,$M$111:$M$116)</f>
        <v>0</v>
      </c>
      <c r="N120" s="613">
        <f>SUMIF($I$111:$I$116,I120,$N$111:$N$116)</f>
        <v>0</v>
      </c>
      <c r="O120" s="613">
        <f>SUMIF($I$111:$I$116,I120,$O$111:$O$116)</f>
        <v>0</v>
      </c>
      <c r="P120" s="614"/>
      <c r="Q120" s="615"/>
      <c r="R120" s="10"/>
      <c r="S120" s="2"/>
    </row>
    <row r="121" spans="1:19" s="215" customFormat="1" ht="121.5" outlineLevel="1" x14ac:dyDescent="0.25">
      <c r="A121" s="511">
        <v>70</v>
      </c>
      <c r="B121" s="658" t="s">
        <v>246</v>
      </c>
      <c r="C121" s="658" t="s">
        <v>244</v>
      </c>
      <c r="D121" s="579" t="s">
        <v>414</v>
      </c>
      <c r="E121" s="579"/>
      <c r="F121" s="579" t="s">
        <v>405</v>
      </c>
      <c r="G121" s="646" t="s">
        <v>255</v>
      </c>
      <c r="H121" s="646" t="s">
        <v>247</v>
      </c>
      <c r="I121" s="282" t="s">
        <v>51</v>
      </c>
      <c r="J121" s="659">
        <v>574491741</v>
      </c>
      <c r="K121" s="659">
        <v>574491741</v>
      </c>
      <c r="L121" s="660">
        <v>1E-4</v>
      </c>
      <c r="M121" s="659">
        <f>132575017.2</f>
        <v>132575017.2</v>
      </c>
      <c r="N121" s="659">
        <f>85623+14165+39966.7</f>
        <v>139754.70000000001</v>
      </c>
      <c r="O121" s="578">
        <f t="shared" ref="O121:O133" si="6">K121-M121</f>
        <v>441916723.80000001</v>
      </c>
      <c r="P121" s="653" t="s">
        <v>248</v>
      </c>
      <c r="Q121" s="661" t="s">
        <v>433</v>
      </c>
      <c r="R121" s="214"/>
      <c r="S121" s="2"/>
    </row>
    <row r="122" spans="1:19" s="215" customFormat="1" ht="108" outlineLevel="1" x14ac:dyDescent="0.25">
      <c r="A122" s="225">
        <v>71</v>
      </c>
      <c r="B122" s="499" t="s">
        <v>249</v>
      </c>
      <c r="C122" s="499" t="s">
        <v>244</v>
      </c>
      <c r="D122" s="553" t="s">
        <v>414</v>
      </c>
      <c r="E122" s="553"/>
      <c r="F122" s="553" t="s">
        <v>405</v>
      </c>
      <c r="G122" s="616" t="s">
        <v>256</v>
      </c>
      <c r="H122" s="616" t="s">
        <v>250</v>
      </c>
      <c r="I122" s="282" t="s">
        <v>51</v>
      </c>
      <c r="J122" s="647">
        <v>98612371</v>
      </c>
      <c r="K122" s="516">
        <v>98612371</v>
      </c>
      <c r="L122" s="556">
        <v>1E-4</v>
      </c>
      <c r="M122" s="516"/>
      <c r="N122" s="516">
        <v>17060</v>
      </c>
      <c r="O122" s="585">
        <f t="shared" si="6"/>
        <v>98612371</v>
      </c>
      <c r="P122" s="648" t="s">
        <v>251</v>
      </c>
      <c r="Q122" s="628" t="s">
        <v>433</v>
      </c>
      <c r="R122" s="214"/>
      <c r="S122" s="2"/>
    </row>
    <row r="123" spans="1:19" s="215" customFormat="1" ht="108" outlineLevel="1" x14ac:dyDescent="0.25">
      <c r="A123" s="225">
        <v>72</v>
      </c>
      <c r="B123" s="499" t="s">
        <v>252</v>
      </c>
      <c r="C123" s="499" t="s">
        <v>244</v>
      </c>
      <c r="D123" s="553" t="s">
        <v>414</v>
      </c>
      <c r="E123" s="553"/>
      <c r="F123" s="553" t="s">
        <v>405</v>
      </c>
      <c r="G123" s="616" t="s">
        <v>257</v>
      </c>
      <c r="H123" s="616" t="s">
        <v>280</v>
      </c>
      <c r="I123" s="282" t="s">
        <v>51</v>
      </c>
      <c r="J123" s="647">
        <v>60132468</v>
      </c>
      <c r="K123" s="516">
        <v>60132468</v>
      </c>
      <c r="L123" s="556">
        <v>1E-4</v>
      </c>
      <c r="M123" s="516">
        <f>4625574.5+4625574.5+4625574.5+4625574.5+4625575+4625575+4625575+4625575+4625575+4625575+4625575</f>
        <v>50881323</v>
      </c>
      <c r="N123" s="516">
        <f>10367+1511.2+1400+1500+1500+1000+20000+1000</f>
        <v>38278.199999999997</v>
      </c>
      <c r="O123" s="585">
        <f t="shared" si="6"/>
        <v>9251145</v>
      </c>
      <c r="P123" s="648" t="s">
        <v>253</v>
      </c>
      <c r="Q123" s="628" t="s">
        <v>428</v>
      </c>
      <c r="R123" s="226"/>
      <c r="S123" s="2"/>
    </row>
    <row r="124" spans="1:19" s="215" customFormat="1" ht="108" outlineLevel="1" x14ac:dyDescent="0.25">
      <c r="A124" s="225">
        <v>73</v>
      </c>
      <c r="B124" s="499" t="s">
        <v>258</v>
      </c>
      <c r="C124" s="499" t="s">
        <v>244</v>
      </c>
      <c r="D124" s="553" t="s">
        <v>414</v>
      </c>
      <c r="E124" s="553"/>
      <c r="F124" s="553" t="s">
        <v>405</v>
      </c>
      <c r="G124" s="616" t="s">
        <v>245</v>
      </c>
      <c r="H124" s="616" t="s">
        <v>281</v>
      </c>
      <c r="I124" s="282" t="s">
        <v>51</v>
      </c>
      <c r="J124" s="284">
        <f>9500000+12453199</f>
        <v>21953199</v>
      </c>
      <c r="K124" s="516">
        <f>9500000+12453199</f>
        <v>21953199</v>
      </c>
      <c r="L124" s="556">
        <v>1E-4</v>
      </c>
      <c r="M124" s="516"/>
      <c r="N124" s="516">
        <v>3720</v>
      </c>
      <c r="O124" s="585">
        <f t="shared" si="6"/>
        <v>21953199</v>
      </c>
      <c r="P124" s="648" t="s">
        <v>283</v>
      </c>
      <c r="Q124" s="628" t="s">
        <v>433</v>
      </c>
      <c r="R124" s="226"/>
      <c r="S124" s="2"/>
    </row>
    <row r="125" spans="1:19" s="215" customFormat="1" ht="129.75" customHeight="1" outlineLevel="1" x14ac:dyDescent="0.25">
      <c r="A125" s="225">
        <v>74</v>
      </c>
      <c r="B125" s="499" t="s">
        <v>259</v>
      </c>
      <c r="C125" s="499" t="s">
        <v>244</v>
      </c>
      <c r="D125" s="553" t="s">
        <v>414</v>
      </c>
      <c r="E125" s="553"/>
      <c r="F125" s="553" t="s">
        <v>405</v>
      </c>
      <c r="G125" s="616" t="s">
        <v>245</v>
      </c>
      <c r="H125" s="616" t="s">
        <v>282</v>
      </c>
      <c r="I125" s="282" t="s">
        <v>51</v>
      </c>
      <c r="J125" s="647">
        <v>15801400</v>
      </c>
      <c r="K125" s="516">
        <v>15801400</v>
      </c>
      <c r="L125" s="556">
        <v>1E-4</v>
      </c>
      <c r="M125" s="516"/>
      <c r="N125" s="516">
        <v>3500</v>
      </c>
      <c r="O125" s="585">
        <f t="shared" si="6"/>
        <v>15801400</v>
      </c>
      <c r="P125" s="648" t="s">
        <v>284</v>
      </c>
      <c r="Q125" s="628" t="s">
        <v>433</v>
      </c>
      <c r="R125" s="226"/>
      <c r="S125" s="2"/>
    </row>
    <row r="126" spans="1:19" s="215" customFormat="1" ht="129.75" customHeight="1" outlineLevel="1" x14ac:dyDescent="0.25">
      <c r="A126" s="225">
        <v>75</v>
      </c>
      <c r="B126" s="499" t="s">
        <v>260</v>
      </c>
      <c r="C126" s="499" t="s">
        <v>244</v>
      </c>
      <c r="D126" s="553" t="s">
        <v>414</v>
      </c>
      <c r="E126" s="553"/>
      <c r="F126" s="553" t="s">
        <v>405</v>
      </c>
      <c r="G126" s="616" t="s">
        <v>245</v>
      </c>
      <c r="H126" s="616" t="s">
        <v>282</v>
      </c>
      <c r="I126" s="282" t="s">
        <v>51</v>
      </c>
      <c r="J126" s="647">
        <v>2554000</v>
      </c>
      <c r="K126" s="516">
        <v>2554000</v>
      </c>
      <c r="L126" s="556">
        <v>1E-4</v>
      </c>
      <c r="M126" s="516"/>
      <c r="N126" s="516">
        <f>500</f>
        <v>500</v>
      </c>
      <c r="O126" s="585">
        <f t="shared" si="6"/>
        <v>2554000</v>
      </c>
      <c r="P126" s="648" t="s">
        <v>285</v>
      </c>
      <c r="Q126" s="628" t="s">
        <v>433</v>
      </c>
      <c r="R126" s="226"/>
      <c r="S126" s="2"/>
    </row>
    <row r="127" spans="1:19" s="215" customFormat="1" ht="129.75" customHeight="1" outlineLevel="1" x14ac:dyDescent="0.25">
      <c r="A127" s="225">
        <v>76</v>
      </c>
      <c r="B127" s="499" t="s">
        <v>261</v>
      </c>
      <c r="C127" s="499" t="s">
        <v>244</v>
      </c>
      <c r="D127" s="553" t="s">
        <v>414</v>
      </c>
      <c r="E127" s="553"/>
      <c r="F127" s="553" t="s">
        <v>405</v>
      </c>
      <c r="G127" s="616" t="s">
        <v>245</v>
      </c>
      <c r="H127" s="616" t="s">
        <v>286</v>
      </c>
      <c r="I127" s="282" t="s">
        <v>51</v>
      </c>
      <c r="J127" s="647">
        <v>29053320</v>
      </c>
      <c r="K127" s="516">
        <v>29053320</v>
      </c>
      <c r="L127" s="556">
        <v>1E-4</v>
      </c>
      <c r="M127" s="516"/>
      <c r="N127" s="516">
        <f>2000+3000</f>
        <v>5000</v>
      </c>
      <c r="O127" s="585">
        <f t="shared" si="6"/>
        <v>29053320</v>
      </c>
      <c r="P127" s="648" t="s">
        <v>268</v>
      </c>
      <c r="Q127" s="628" t="s">
        <v>433</v>
      </c>
      <c r="R127" s="226"/>
      <c r="S127" s="2"/>
    </row>
    <row r="128" spans="1:19" s="215" customFormat="1" ht="129.75" customHeight="1" outlineLevel="1" x14ac:dyDescent="0.25">
      <c r="A128" s="225">
        <v>77</v>
      </c>
      <c r="B128" s="499" t="s">
        <v>262</v>
      </c>
      <c r="C128" s="499" t="s">
        <v>244</v>
      </c>
      <c r="D128" s="553" t="s">
        <v>414</v>
      </c>
      <c r="E128" s="553"/>
      <c r="F128" s="553" t="s">
        <v>405</v>
      </c>
      <c r="G128" s="616" t="s">
        <v>245</v>
      </c>
      <c r="H128" s="616" t="s">
        <v>287</v>
      </c>
      <c r="I128" s="282" t="s">
        <v>51</v>
      </c>
      <c r="J128" s="647">
        <v>192064443</v>
      </c>
      <c r="K128" s="516">
        <f>95000000+97064443</f>
        <v>192064443</v>
      </c>
      <c r="L128" s="556">
        <v>1E-4</v>
      </c>
      <c r="M128" s="516">
        <f>65000000+20000000+30000000+10000000+10000000</f>
        <v>135000000</v>
      </c>
      <c r="N128" s="516">
        <f>16100+12200+23933</f>
        <v>52233</v>
      </c>
      <c r="O128" s="585">
        <f t="shared" si="6"/>
        <v>57064443</v>
      </c>
      <c r="P128" s="648" t="s">
        <v>350</v>
      </c>
      <c r="Q128" s="628" t="s">
        <v>428</v>
      </c>
      <c r="R128" s="226"/>
      <c r="S128" s="2"/>
    </row>
    <row r="129" spans="1:19" s="215" customFormat="1" ht="129.75" customHeight="1" outlineLevel="1" x14ac:dyDescent="0.25">
      <c r="A129" s="225">
        <v>78</v>
      </c>
      <c r="B129" s="499" t="s">
        <v>263</v>
      </c>
      <c r="C129" s="499" t="s">
        <v>244</v>
      </c>
      <c r="D129" s="553" t="s">
        <v>414</v>
      </c>
      <c r="E129" s="553"/>
      <c r="F129" s="553" t="s">
        <v>405</v>
      </c>
      <c r="G129" s="616" t="s">
        <v>245</v>
      </c>
      <c r="H129" s="616" t="s">
        <v>288</v>
      </c>
      <c r="I129" s="282" t="s">
        <v>51</v>
      </c>
      <c r="J129" s="647">
        <v>3469534</v>
      </c>
      <c r="K129" s="516">
        <v>3469534</v>
      </c>
      <c r="L129" s="556">
        <v>1E-4</v>
      </c>
      <c r="M129" s="516">
        <v>266887</v>
      </c>
      <c r="N129" s="516">
        <f>600+86</f>
        <v>686</v>
      </c>
      <c r="O129" s="585">
        <f t="shared" si="6"/>
        <v>3202647</v>
      </c>
      <c r="P129" s="648" t="s">
        <v>289</v>
      </c>
      <c r="Q129" s="628" t="s">
        <v>433</v>
      </c>
      <c r="R129" s="226"/>
      <c r="S129" s="2"/>
    </row>
    <row r="130" spans="1:19" s="215" customFormat="1" ht="129.75" customHeight="1" outlineLevel="1" x14ac:dyDescent="0.25">
      <c r="A130" s="225">
        <v>79</v>
      </c>
      <c r="B130" s="499" t="s">
        <v>270</v>
      </c>
      <c r="C130" s="499" t="s">
        <v>244</v>
      </c>
      <c r="D130" s="553" t="s">
        <v>414</v>
      </c>
      <c r="E130" s="553"/>
      <c r="F130" s="553" t="s">
        <v>405</v>
      </c>
      <c r="G130" s="616" t="s">
        <v>245</v>
      </c>
      <c r="H130" s="616" t="s">
        <v>291</v>
      </c>
      <c r="I130" s="282" t="s">
        <v>51</v>
      </c>
      <c r="J130" s="647">
        <v>11781702</v>
      </c>
      <c r="K130" s="516">
        <v>11781702</v>
      </c>
      <c r="L130" s="556">
        <v>1E-4</v>
      </c>
      <c r="M130" s="516">
        <f>906285+906285+906285+906285+906285+906285+906285+906285+906285+906285+906285</f>
        <v>9969135</v>
      </c>
      <c r="N130" s="516">
        <f>3000+1500+1500</f>
        <v>6000</v>
      </c>
      <c r="O130" s="585">
        <f t="shared" si="6"/>
        <v>1812567</v>
      </c>
      <c r="P130" s="648" t="s">
        <v>290</v>
      </c>
      <c r="Q130" s="628" t="s">
        <v>428</v>
      </c>
      <c r="R130" s="226"/>
      <c r="S130" s="2"/>
    </row>
    <row r="131" spans="1:19" s="215" customFormat="1" ht="129.75" customHeight="1" outlineLevel="1" x14ac:dyDescent="0.25">
      <c r="A131" s="225">
        <v>0</v>
      </c>
      <c r="B131" s="499" t="s">
        <v>264</v>
      </c>
      <c r="C131" s="499" t="s">
        <v>244</v>
      </c>
      <c r="D131" s="553" t="s">
        <v>414</v>
      </c>
      <c r="E131" s="553"/>
      <c r="F131" s="553" t="s">
        <v>405</v>
      </c>
      <c r="G131" s="616" t="s">
        <v>245</v>
      </c>
      <c r="H131" s="616" t="s">
        <v>292</v>
      </c>
      <c r="I131" s="282" t="s">
        <v>51</v>
      </c>
      <c r="J131" s="647">
        <f>112000000+16200000</f>
        <v>128200000</v>
      </c>
      <c r="K131" s="516">
        <f>112000000+16200000</f>
        <v>128200000</v>
      </c>
      <c r="L131" s="556">
        <v>1E-4</v>
      </c>
      <c r="M131" s="516">
        <f>3000000+3000000+4000000</f>
        <v>10000000</v>
      </c>
      <c r="N131" s="516">
        <f>25640+12820+12820+12820</f>
        <v>64100</v>
      </c>
      <c r="O131" s="585">
        <f t="shared" si="6"/>
        <v>118200000</v>
      </c>
      <c r="P131" s="648" t="s">
        <v>293</v>
      </c>
      <c r="Q131" s="628" t="s">
        <v>433</v>
      </c>
      <c r="R131" s="226"/>
      <c r="S131" s="2"/>
    </row>
    <row r="132" spans="1:19" s="215" customFormat="1" ht="129.75" customHeight="1" outlineLevel="1" x14ac:dyDescent="0.25">
      <c r="A132" s="225">
        <v>81</v>
      </c>
      <c r="B132" s="499" t="s">
        <v>271</v>
      </c>
      <c r="C132" s="499" t="s">
        <v>244</v>
      </c>
      <c r="D132" s="553" t="s">
        <v>414</v>
      </c>
      <c r="E132" s="553"/>
      <c r="F132" s="553" t="s">
        <v>405</v>
      </c>
      <c r="G132" s="616" t="s">
        <v>245</v>
      </c>
      <c r="H132" s="616" t="s">
        <v>294</v>
      </c>
      <c r="I132" s="282" t="s">
        <v>51</v>
      </c>
      <c r="J132" s="647">
        <v>26127500</v>
      </c>
      <c r="K132" s="516">
        <v>26127500</v>
      </c>
      <c r="L132" s="556">
        <v>1E-4</v>
      </c>
      <c r="M132" s="516"/>
      <c r="N132" s="516">
        <f>4530</f>
        <v>4530</v>
      </c>
      <c r="O132" s="585">
        <f t="shared" si="6"/>
        <v>26127500</v>
      </c>
      <c r="P132" s="648" t="s">
        <v>349</v>
      </c>
      <c r="Q132" s="628" t="s">
        <v>433</v>
      </c>
      <c r="R132" s="226"/>
      <c r="S132" s="2"/>
    </row>
    <row r="133" spans="1:19" s="215" customFormat="1" ht="129.75" customHeight="1" outlineLevel="1" x14ac:dyDescent="0.25">
      <c r="A133" s="225">
        <v>82</v>
      </c>
      <c r="B133" s="499" t="s">
        <v>265</v>
      </c>
      <c r="C133" s="499" t="s">
        <v>244</v>
      </c>
      <c r="D133" s="553" t="s">
        <v>414</v>
      </c>
      <c r="E133" s="553"/>
      <c r="F133" s="553" t="s">
        <v>405</v>
      </c>
      <c r="G133" s="616" t="s">
        <v>245</v>
      </c>
      <c r="H133" s="616" t="s">
        <v>295</v>
      </c>
      <c r="I133" s="282" t="s">
        <v>51</v>
      </c>
      <c r="J133" s="647">
        <v>19297200</v>
      </c>
      <c r="K133" s="516">
        <f>10800000+3440000+1440000+3617200</f>
        <v>19297200</v>
      </c>
      <c r="L133" s="556">
        <v>1E-4</v>
      </c>
      <c r="M133" s="516"/>
      <c r="N133" s="516">
        <f>3000</f>
        <v>3000</v>
      </c>
      <c r="O133" s="585">
        <f t="shared" si="6"/>
        <v>19297200</v>
      </c>
      <c r="P133" s="648" t="s">
        <v>310</v>
      </c>
      <c r="Q133" s="628" t="s">
        <v>483</v>
      </c>
      <c r="R133" s="226"/>
      <c r="S133" s="2"/>
    </row>
    <row r="134" spans="1:19" s="215" customFormat="1" ht="129.75" customHeight="1" outlineLevel="1" x14ac:dyDescent="0.25">
      <c r="A134" s="225">
        <v>83</v>
      </c>
      <c r="B134" s="499" t="s">
        <v>266</v>
      </c>
      <c r="C134" s="499" t="s">
        <v>244</v>
      </c>
      <c r="D134" s="553" t="s">
        <v>414</v>
      </c>
      <c r="E134" s="553"/>
      <c r="F134" s="553" t="s">
        <v>405</v>
      </c>
      <c r="G134" s="616" t="s">
        <v>245</v>
      </c>
      <c r="H134" s="616" t="s">
        <v>288</v>
      </c>
      <c r="I134" s="282" t="s">
        <v>51</v>
      </c>
      <c r="J134" s="647">
        <v>2164000</v>
      </c>
      <c r="K134" s="516">
        <v>2164000</v>
      </c>
      <c r="L134" s="556">
        <v>1E-4</v>
      </c>
      <c r="M134" s="516">
        <f>166462+166462+165000+167000+166500+166500+67000+265923+100000</f>
        <v>1430847</v>
      </c>
      <c r="N134" s="516">
        <f>370+54.8+100+100+500</f>
        <v>1124.8</v>
      </c>
      <c r="O134" s="585">
        <f>K134-N134</f>
        <v>2162875.2000000002</v>
      </c>
      <c r="P134" s="648" t="s">
        <v>269</v>
      </c>
      <c r="Q134" s="628" t="s">
        <v>428</v>
      </c>
      <c r="R134" s="226"/>
      <c r="S134" s="2"/>
    </row>
    <row r="135" spans="1:19" s="215" customFormat="1" ht="129.75" customHeight="1" outlineLevel="1" x14ac:dyDescent="0.25">
      <c r="A135" s="225">
        <v>84</v>
      </c>
      <c r="B135" s="499" t="s">
        <v>277</v>
      </c>
      <c r="C135" s="499" t="s">
        <v>244</v>
      </c>
      <c r="D135" s="553" t="s">
        <v>414</v>
      </c>
      <c r="E135" s="553"/>
      <c r="F135" s="553" t="s">
        <v>405</v>
      </c>
      <c r="G135" s="616" t="s">
        <v>245</v>
      </c>
      <c r="H135" s="616" t="s">
        <v>296</v>
      </c>
      <c r="I135" s="282" t="s">
        <v>51</v>
      </c>
      <c r="J135" s="647">
        <v>253504102</v>
      </c>
      <c r="K135" s="516">
        <v>253504102</v>
      </c>
      <c r="L135" s="556">
        <v>1E-4</v>
      </c>
      <c r="M135" s="516">
        <f>19500316+19500316+19500315+19500315+19500315+19500315+19500316+19500316+19500316+19500316</f>
        <v>195003156</v>
      </c>
      <c r="N135" s="516">
        <f>5973+6390+6181+6389+6181.4+6390+6390+6390+6389+5407+7015+5059.2+9482.9</f>
        <v>83637.499999999985</v>
      </c>
      <c r="O135" s="585">
        <f t="shared" ref="O135:O141" si="7">K135-M135</f>
        <v>58500946</v>
      </c>
      <c r="P135" s="648" t="s">
        <v>297</v>
      </c>
      <c r="Q135" s="628" t="s">
        <v>428</v>
      </c>
      <c r="R135" s="226"/>
      <c r="S135" s="2"/>
    </row>
    <row r="136" spans="1:19" s="215" customFormat="1" ht="129.75" customHeight="1" outlineLevel="1" x14ac:dyDescent="0.25">
      <c r="A136" s="225">
        <v>85</v>
      </c>
      <c r="B136" s="499" t="s">
        <v>278</v>
      </c>
      <c r="C136" s="499" t="s">
        <v>244</v>
      </c>
      <c r="D136" s="553" t="s">
        <v>414</v>
      </c>
      <c r="E136" s="553"/>
      <c r="F136" s="553" t="s">
        <v>405</v>
      </c>
      <c r="G136" s="616" t="s">
        <v>245</v>
      </c>
      <c r="H136" s="616" t="s">
        <v>296</v>
      </c>
      <c r="I136" s="282" t="s">
        <v>51</v>
      </c>
      <c r="J136" s="647">
        <v>76200000</v>
      </c>
      <c r="K136" s="516">
        <v>76200000</v>
      </c>
      <c r="L136" s="556">
        <v>1E-4</v>
      </c>
      <c r="M136" s="516"/>
      <c r="N136" s="516">
        <f>7620+5520</f>
        <v>13140</v>
      </c>
      <c r="O136" s="585">
        <f t="shared" si="7"/>
        <v>76200000</v>
      </c>
      <c r="P136" s="648" t="s">
        <v>298</v>
      </c>
      <c r="Q136" s="628" t="s">
        <v>433</v>
      </c>
      <c r="R136" s="226"/>
      <c r="S136" s="2"/>
    </row>
    <row r="137" spans="1:19" s="215" customFormat="1" ht="108" outlineLevel="1" x14ac:dyDescent="0.25">
      <c r="A137" s="225">
        <v>86</v>
      </c>
      <c r="B137" s="499" t="s">
        <v>279</v>
      </c>
      <c r="C137" s="499" t="s">
        <v>244</v>
      </c>
      <c r="D137" s="553" t="s">
        <v>414</v>
      </c>
      <c r="E137" s="553"/>
      <c r="F137" s="553" t="s">
        <v>405</v>
      </c>
      <c r="G137" s="616" t="s">
        <v>245</v>
      </c>
      <c r="H137" s="616" t="s">
        <v>299</v>
      </c>
      <c r="I137" s="282" t="s">
        <v>51</v>
      </c>
      <c r="J137" s="647">
        <v>50613970</v>
      </c>
      <c r="K137" s="516">
        <v>50613970</v>
      </c>
      <c r="L137" s="556">
        <v>1E-4</v>
      </c>
      <c r="M137" s="516"/>
      <c r="N137" s="516">
        <f>8800+8800</f>
        <v>17600</v>
      </c>
      <c r="O137" s="585">
        <f t="shared" si="7"/>
        <v>50613970</v>
      </c>
      <c r="P137" s="648" t="s">
        <v>300</v>
      </c>
      <c r="Q137" s="628" t="s">
        <v>433</v>
      </c>
      <c r="R137" s="226"/>
      <c r="S137" s="2"/>
    </row>
    <row r="138" spans="1:19" s="215" customFormat="1" ht="108" outlineLevel="1" x14ac:dyDescent="0.25">
      <c r="A138" s="225">
        <v>87</v>
      </c>
      <c r="B138" s="499" t="s">
        <v>311</v>
      </c>
      <c r="C138" s="499" t="s">
        <v>244</v>
      </c>
      <c r="D138" s="553" t="s">
        <v>414</v>
      </c>
      <c r="E138" s="553"/>
      <c r="F138" s="553" t="s">
        <v>405</v>
      </c>
      <c r="G138" s="616" t="s">
        <v>245</v>
      </c>
      <c r="H138" s="616" t="s">
        <v>312</v>
      </c>
      <c r="I138" s="282" t="s">
        <v>51</v>
      </c>
      <c r="J138" s="647">
        <v>184740000</v>
      </c>
      <c r="K138" s="516">
        <v>184740000</v>
      </c>
      <c r="L138" s="556">
        <v>1E-4</v>
      </c>
      <c r="M138" s="516"/>
      <c r="N138" s="516">
        <f>31700</f>
        <v>31700</v>
      </c>
      <c r="O138" s="585">
        <f t="shared" si="7"/>
        <v>184740000</v>
      </c>
      <c r="P138" s="648" t="s">
        <v>313</v>
      </c>
      <c r="Q138" s="628" t="s">
        <v>483</v>
      </c>
      <c r="R138" s="226"/>
      <c r="S138" s="2"/>
    </row>
    <row r="139" spans="1:19" s="215" customFormat="1" ht="108" outlineLevel="1" x14ac:dyDescent="0.25">
      <c r="A139" s="225">
        <v>88</v>
      </c>
      <c r="B139" s="499" t="s">
        <v>314</v>
      </c>
      <c r="C139" s="499" t="s">
        <v>244</v>
      </c>
      <c r="D139" s="553" t="s">
        <v>414</v>
      </c>
      <c r="E139" s="553"/>
      <c r="F139" s="553" t="s">
        <v>405</v>
      </c>
      <c r="G139" s="616" t="s">
        <v>245</v>
      </c>
      <c r="H139" s="616" t="s">
        <v>315</v>
      </c>
      <c r="I139" s="282" t="s">
        <v>51</v>
      </c>
      <c r="J139" s="647">
        <v>219559596</v>
      </c>
      <c r="K139" s="516">
        <v>219559596</v>
      </c>
      <c r="L139" s="556">
        <v>1E-4</v>
      </c>
      <c r="M139" s="516">
        <f>16889200+16889200+185781196</f>
        <v>219559596</v>
      </c>
      <c r="N139" s="516">
        <f>5294+5294+27550+5533+1000</f>
        <v>44671</v>
      </c>
      <c r="O139" s="585">
        <f t="shared" si="7"/>
        <v>0</v>
      </c>
      <c r="P139" s="648" t="s">
        <v>316</v>
      </c>
      <c r="Q139" s="628" t="s">
        <v>482</v>
      </c>
      <c r="R139" s="226"/>
      <c r="S139" s="2"/>
    </row>
    <row r="140" spans="1:19" s="215" customFormat="1" ht="108" outlineLevel="1" x14ac:dyDescent="0.25">
      <c r="A140" s="225">
        <v>89</v>
      </c>
      <c r="B140" s="499" t="s">
        <v>317</v>
      </c>
      <c r="C140" s="499" t="s">
        <v>244</v>
      </c>
      <c r="D140" s="553" t="s">
        <v>414</v>
      </c>
      <c r="E140" s="553"/>
      <c r="F140" s="553" t="s">
        <v>405</v>
      </c>
      <c r="G140" s="616" t="s">
        <v>245</v>
      </c>
      <c r="H140" s="616" t="s">
        <v>312</v>
      </c>
      <c r="I140" s="282" t="s">
        <v>51</v>
      </c>
      <c r="J140" s="647">
        <v>29081500</v>
      </c>
      <c r="K140" s="516">
        <v>29081500</v>
      </c>
      <c r="L140" s="556">
        <v>1E-4</v>
      </c>
      <c r="M140" s="516"/>
      <c r="N140" s="516">
        <f>1000+4000+3000+1000+1000</f>
        <v>10000</v>
      </c>
      <c r="O140" s="585">
        <f t="shared" si="7"/>
        <v>29081500</v>
      </c>
      <c r="P140" s="648" t="s">
        <v>318</v>
      </c>
      <c r="Q140" s="628" t="s">
        <v>433</v>
      </c>
      <c r="R140" s="226"/>
      <c r="S140" s="2"/>
    </row>
    <row r="141" spans="1:19" s="215" customFormat="1" ht="123" customHeight="1" outlineLevel="1" thickBot="1" x14ac:dyDescent="0.3">
      <c r="A141" s="225">
        <v>90</v>
      </c>
      <c r="B141" s="631" t="s">
        <v>319</v>
      </c>
      <c r="C141" s="631" t="s">
        <v>244</v>
      </c>
      <c r="D141" s="522" t="s">
        <v>414</v>
      </c>
      <c r="E141" s="522"/>
      <c r="F141" s="522" t="s">
        <v>405</v>
      </c>
      <c r="G141" s="523" t="s">
        <v>245</v>
      </c>
      <c r="H141" s="523" t="s">
        <v>334</v>
      </c>
      <c r="I141" s="522" t="s">
        <v>51</v>
      </c>
      <c r="J141" s="632">
        <v>12060940</v>
      </c>
      <c r="K141" s="632">
        <v>12060940</v>
      </c>
      <c r="L141" s="584">
        <v>1E-4</v>
      </c>
      <c r="M141" s="632"/>
      <c r="N141" s="632">
        <v>2170</v>
      </c>
      <c r="O141" s="635">
        <f t="shared" si="7"/>
        <v>12060940</v>
      </c>
      <c r="P141" s="631" t="s">
        <v>320</v>
      </c>
      <c r="Q141" s="637" t="s">
        <v>433</v>
      </c>
      <c r="R141" s="226"/>
      <c r="S141" s="2"/>
    </row>
    <row r="142" spans="1:19" s="594" customFormat="1" ht="30" customHeight="1" x14ac:dyDescent="0.25">
      <c r="A142" s="595" t="s">
        <v>352</v>
      </c>
      <c r="B142" s="596"/>
      <c r="C142" s="597"/>
      <c r="D142" s="638"/>
      <c r="E142" s="638"/>
      <c r="F142" s="639"/>
      <c r="G142" s="639"/>
      <c r="H142" s="639"/>
      <c r="I142" s="663" t="s">
        <v>30</v>
      </c>
      <c r="J142" s="603">
        <f>SUMIF($I$121:$I$141,I142,$J$121:$J$141)</f>
        <v>0</v>
      </c>
      <c r="K142" s="640">
        <f>SUMIF($I$111:$I$141,I142,$K$111:$K$141)</f>
        <v>0</v>
      </c>
      <c r="L142" s="640"/>
      <c r="M142" s="640">
        <f>SUMIF($I$121:$I$141,I142,$M$121:$M$141)</f>
        <v>0</v>
      </c>
      <c r="N142" s="640">
        <f>SUMIF($I$111:$I$141,I142,$N$111:$N$141)</f>
        <v>0</v>
      </c>
      <c r="O142" s="640">
        <f>SUMIF($I$111:$I$141,I142,$O$111:$O$141)</f>
        <v>0</v>
      </c>
      <c r="P142" s="641"/>
      <c r="Q142" s="593"/>
      <c r="R142" s="10"/>
      <c r="S142" s="2"/>
    </row>
    <row r="143" spans="1:19" s="594" customFormat="1" ht="27" customHeight="1" x14ac:dyDescent="0.25">
      <c r="A143" s="595"/>
      <c r="B143" s="596"/>
      <c r="C143" s="597"/>
      <c r="D143" s="562"/>
      <c r="E143" s="562"/>
      <c r="F143" s="598"/>
      <c r="G143" s="598"/>
      <c r="H143" s="598"/>
      <c r="I143" s="664" t="s">
        <v>51</v>
      </c>
      <c r="J143" s="599">
        <f>SUMIF($I$121:$I$141,I143,$J$121:$J$141)</f>
        <v>2011462986</v>
      </c>
      <c r="K143" s="599">
        <f>SUMIF($I$121:$I$141,I143,$K$121:$K$141)</f>
        <v>2011462986</v>
      </c>
      <c r="L143" s="599"/>
      <c r="M143" s="599">
        <f>SUMIF($I$121:$I$141,I143,$M$121:$M$141)</f>
        <v>754685961.20000005</v>
      </c>
      <c r="N143" s="599">
        <f>SUMIF($I$121:$I$141,I143,$N$121:$N$141)</f>
        <v>542405.19999999995</v>
      </c>
      <c r="O143" s="599">
        <f>SUMIF($I$121:$I$141,I143,$O$121:$O$141)</f>
        <v>1258206747</v>
      </c>
      <c r="P143" s="600"/>
      <c r="Q143" s="601"/>
      <c r="R143" s="10"/>
      <c r="S143" s="2"/>
    </row>
    <row r="144" spans="1:19" s="594" customFormat="1" ht="28.5" customHeight="1" x14ac:dyDescent="0.25">
      <c r="A144" s="595"/>
      <c r="B144" s="596"/>
      <c r="C144" s="597"/>
      <c r="D144" s="562"/>
      <c r="E144" s="562"/>
      <c r="F144" s="598"/>
      <c r="G144" s="598"/>
      <c r="H144" s="598"/>
      <c r="I144" s="664" t="s">
        <v>26</v>
      </c>
      <c r="J144" s="599">
        <f>SUMIF($I$121:$I$141,I144,$J$121:$J$141)</f>
        <v>0</v>
      </c>
      <c r="K144" s="599">
        <f>SUMIF($I$111:$I$141,I144,$K$111:$K$141)</f>
        <v>0</v>
      </c>
      <c r="L144" s="599"/>
      <c r="M144" s="599">
        <f>SUMIF($I$111:$I$141,I144,$M$111:$M$141)</f>
        <v>0</v>
      </c>
      <c r="N144" s="599">
        <f>SUMIF($I$111:$I$141,I144,$N$111:$N$141)</f>
        <v>0</v>
      </c>
      <c r="O144" s="599">
        <f>SUMIF($I$111:$I$141,I144,$O$111:$O$141)</f>
        <v>0</v>
      </c>
      <c r="P144" s="600"/>
      <c r="Q144" s="601"/>
      <c r="R144" s="10"/>
      <c r="S144" s="2"/>
    </row>
    <row r="145" spans="1:19" s="594" customFormat="1" ht="30" customHeight="1" thickBot="1" x14ac:dyDescent="0.3">
      <c r="A145" s="606"/>
      <c r="B145" s="607"/>
      <c r="C145" s="608"/>
      <c r="D145" s="626"/>
      <c r="E145" s="626"/>
      <c r="F145" s="609"/>
      <c r="G145" s="609"/>
      <c r="H145" s="609"/>
      <c r="I145" s="611" t="s">
        <v>18</v>
      </c>
      <c r="J145" s="613">
        <f>SUMIF($I$121:$I$141,I145,$J$121:$J$141)</f>
        <v>0</v>
      </c>
      <c r="K145" s="613">
        <f>SUMIF($I$111:$I$141,I145,$K$111:$K$141)</f>
        <v>0</v>
      </c>
      <c r="L145" s="613"/>
      <c r="M145" s="613">
        <f>SUMIF($I$111:$I$141,I145,$M$111:$M$141)</f>
        <v>0</v>
      </c>
      <c r="N145" s="613">
        <f>SUMIF($I$111:$I$141,I145,$N$111:$N$141)</f>
        <v>0</v>
      </c>
      <c r="O145" s="613">
        <f>SUMIF($I$111:$I$141,I145,$O$111:$O$141)</f>
        <v>0</v>
      </c>
      <c r="P145" s="614"/>
      <c r="Q145" s="615"/>
      <c r="R145" s="10"/>
      <c r="S145" s="2"/>
    </row>
    <row r="146" spans="1:19" s="594" customFormat="1" ht="15.75" customHeight="1" x14ac:dyDescent="0.25">
      <c r="A146" s="587" t="s">
        <v>162</v>
      </c>
      <c r="B146" s="588"/>
      <c r="C146" s="589"/>
      <c r="D146" s="638"/>
      <c r="E146" s="638"/>
      <c r="F146" s="639"/>
      <c r="G146" s="639"/>
      <c r="H146" s="639"/>
      <c r="I146" s="663" t="s">
        <v>30</v>
      </c>
      <c r="J146" s="640">
        <f>J51+J62+J73+J107+J117+J142</f>
        <v>340755742.28000003</v>
      </c>
      <c r="K146" s="640">
        <f>K51+K62+K73+K107+K117+K142</f>
        <v>144917393.54000002</v>
      </c>
      <c r="L146" s="640">
        <f>L51+L62+L73+L107+L117+L142</f>
        <v>0</v>
      </c>
      <c r="M146" s="640">
        <f>M51+M62+M73+M107+M117+M142</f>
        <v>57735985.294390991</v>
      </c>
      <c r="N146" s="640">
        <f>N51+N62+N73+N107+N117+N142</f>
        <v>22191558.302872021</v>
      </c>
      <c r="O146" s="640">
        <f>O51+O62+O73+O107+O117+O142</f>
        <v>87942976.675609007</v>
      </c>
      <c r="P146" s="641"/>
      <c r="Q146" s="593"/>
      <c r="R146" s="10"/>
      <c r="S146" s="2"/>
    </row>
    <row r="147" spans="1:19" s="594" customFormat="1" ht="17.25" customHeight="1" x14ac:dyDescent="0.25">
      <c r="A147" s="595"/>
      <c r="B147" s="596"/>
      <c r="C147" s="597"/>
      <c r="D147" s="562"/>
      <c r="E147" s="562"/>
      <c r="F147" s="598"/>
      <c r="G147" s="598"/>
      <c r="H147" s="598"/>
      <c r="I147" s="664" t="s">
        <v>51</v>
      </c>
      <c r="J147" s="640">
        <f>J52+J63+J74+J108+J118+J143</f>
        <v>185559253304.10001</v>
      </c>
      <c r="K147" s="640">
        <f>K52+K63+K74+K108+K118+K143</f>
        <v>204036581510.81</v>
      </c>
      <c r="L147" s="640">
        <f>L52+L63+L74+L108+L118+L143</f>
        <v>0</v>
      </c>
      <c r="M147" s="640">
        <f>M52+M63+M74+M108+M118+M143</f>
        <v>103756795053.8847</v>
      </c>
      <c r="N147" s="640">
        <f>N52+N63+N74+N108+N118+N143</f>
        <v>52189251636.167267</v>
      </c>
      <c r="O147" s="640">
        <f>O52+O63+O74+O108+O118+O143</f>
        <v>100031216179.12529</v>
      </c>
      <c r="P147" s="600"/>
      <c r="Q147" s="601"/>
      <c r="R147" s="10"/>
      <c r="S147" s="2"/>
    </row>
    <row r="148" spans="1:19" s="594" customFormat="1" ht="15" customHeight="1" x14ac:dyDescent="0.25">
      <c r="A148" s="595"/>
      <c r="B148" s="596"/>
      <c r="C148" s="597"/>
      <c r="D148" s="562"/>
      <c r="E148" s="562"/>
      <c r="F148" s="598"/>
      <c r="G148" s="598"/>
      <c r="H148" s="598"/>
      <c r="I148" s="664" t="s">
        <v>26</v>
      </c>
      <c r="J148" s="640">
        <f>J53+J64+J75+J109+J119+J144</f>
        <v>521140620.31999999</v>
      </c>
      <c r="K148" s="640">
        <f>K53+K64+K75+K109+K119+K144</f>
        <v>361563058.49000001</v>
      </c>
      <c r="L148" s="640">
        <f>L53+L64+L75+L109+L119+L144</f>
        <v>0</v>
      </c>
      <c r="M148" s="640">
        <f>M53+M64+M75+M109+M119+M144</f>
        <v>138290878.10792884</v>
      </c>
      <c r="N148" s="640">
        <f>N53+N64+N75+N109+N119+N144</f>
        <v>74318484.813423038</v>
      </c>
      <c r="O148" s="640">
        <f>O53+O64+O75+O109+O119+O144</f>
        <v>223272180.3820712</v>
      </c>
      <c r="P148" s="600"/>
      <c r="Q148" s="601"/>
      <c r="R148" s="10"/>
      <c r="S148" s="2"/>
    </row>
    <row r="149" spans="1:19" s="594" customFormat="1" ht="25.5" customHeight="1" x14ac:dyDescent="0.25">
      <c r="A149" s="595"/>
      <c r="B149" s="596"/>
      <c r="C149" s="597"/>
      <c r="D149" s="562"/>
      <c r="E149" s="562"/>
      <c r="F149" s="598"/>
      <c r="G149" s="598"/>
      <c r="H149" s="598"/>
      <c r="I149" s="664" t="s">
        <v>18</v>
      </c>
      <c r="J149" s="640">
        <f>J54+J65+J76+J110+J120+J145</f>
        <v>31777311969</v>
      </c>
      <c r="K149" s="640">
        <f>K54+K65+K76+K110+K120+K145</f>
        <v>31859249643</v>
      </c>
      <c r="L149" s="640">
        <f>L54+L65+L76+L110+L120+L145</f>
        <v>0</v>
      </c>
      <c r="M149" s="640">
        <f>M54+M65+M76+M110+M120+M145</f>
        <v>12748532590.394199</v>
      </c>
      <c r="N149" s="640">
        <f>N54+N65+N76+N110+N120+N145</f>
        <v>3651976207.5861864</v>
      </c>
      <c r="O149" s="640">
        <f>O54+O65+O76+O110+O120+O145</f>
        <v>19110717052.605801</v>
      </c>
      <c r="P149" s="604"/>
      <c r="Q149" s="605"/>
      <c r="R149" s="10"/>
      <c r="S149" s="2"/>
    </row>
    <row r="150" spans="1:19" s="594" customFormat="1" ht="15" customHeight="1" thickBot="1" x14ac:dyDescent="0.3">
      <c r="A150" s="606"/>
      <c r="B150" s="607"/>
      <c r="C150" s="608"/>
      <c r="D150" s="626"/>
      <c r="E150" s="626"/>
      <c r="F150" s="609"/>
      <c r="G150" s="609"/>
      <c r="H150" s="609"/>
      <c r="I150" s="664" t="s">
        <v>216</v>
      </c>
      <c r="J150" s="640">
        <f>J55</f>
        <v>24086688</v>
      </c>
      <c r="K150" s="640">
        <f>K55</f>
        <v>18384172.012149811</v>
      </c>
      <c r="L150" s="640">
        <f>L55</f>
        <v>0</v>
      </c>
      <c r="M150" s="640">
        <f>M55</f>
        <v>4824455.8054339811</v>
      </c>
      <c r="N150" s="640">
        <f>N55</f>
        <v>3135419.4621466845</v>
      </c>
      <c r="O150" s="640">
        <f>O55</f>
        <v>13559716.206715828</v>
      </c>
      <c r="P150" s="604"/>
      <c r="Q150" s="605"/>
      <c r="R150" s="10"/>
      <c r="S150" s="2"/>
    </row>
    <row r="151" spans="1:19" ht="51" customHeight="1" thickBot="1" x14ac:dyDescent="0.3">
      <c r="A151" s="665">
        <v>95</v>
      </c>
      <c r="B151" s="666" t="s">
        <v>579</v>
      </c>
      <c r="C151" s="667" t="s">
        <v>152</v>
      </c>
      <c r="D151" s="662" t="s">
        <v>414</v>
      </c>
      <c r="E151" s="662"/>
      <c r="F151" s="662" t="s">
        <v>405</v>
      </c>
      <c r="G151" s="662" t="s">
        <v>241</v>
      </c>
      <c r="H151" s="662" t="s">
        <v>242</v>
      </c>
      <c r="I151" s="667" t="s">
        <v>51</v>
      </c>
      <c r="J151" s="668">
        <f>834800635300+144000000000+32000000000+132000000000+3500000000+14000000000+2900000000+4000000000</f>
        <v>1167200635300</v>
      </c>
      <c r="K151" s="669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L151" s="670">
        <v>1E-4</v>
      </c>
      <c r="M151" s="669"/>
      <c r="N151" s="669"/>
      <c r="O151" s="671">
        <f>K151-M151</f>
        <v>1161789822801.3999</v>
      </c>
      <c r="P151" s="672" t="s">
        <v>111</v>
      </c>
      <c r="Q151" s="673"/>
      <c r="S151" s="594"/>
    </row>
    <row r="152" spans="1:19" ht="17.25" x14ac:dyDescent="0.3">
      <c r="B152" s="525" t="s">
        <v>51</v>
      </c>
      <c r="C152" s="526"/>
      <c r="I152" s="675"/>
      <c r="J152" s="676"/>
      <c r="K152" s="676"/>
      <c r="O152" s="678"/>
      <c r="P152" s="533"/>
      <c r="Q152" s="533"/>
    </row>
    <row r="153" spans="1:19" ht="17.25" x14ac:dyDescent="0.3">
      <c r="B153" s="525" t="s">
        <v>26</v>
      </c>
      <c r="C153" s="526">
        <v>397.92</v>
      </c>
      <c r="J153" s="676"/>
      <c r="K153" s="679"/>
      <c r="L153" s="680"/>
      <c r="N153" s="676"/>
      <c r="O153" s="681"/>
      <c r="P153" s="682"/>
      <c r="Q153" s="682"/>
    </row>
    <row r="154" spans="1:19" ht="17.25" x14ac:dyDescent="0.3">
      <c r="B154" s="525" t="s">
        <v>18</v>
      </c>
      <c r="C154" s="527">
        <v>2.5750000000000002</v>
      </c>
      <c r="K154" s="676"/>
      <c r="N154" s="676"/>
      <c r="O154" s="683"/>
      <c r="P154" s="684"/>
      <c r="Q154" s="684"/>
    </row>
    <row r="155" spans="1:19" ht="17.25" x14ac:dyDescent="0.3">
      <c r="B155" s="525" t="s">
        <v>30</v>
      </c>
      <c r="C155" s="526">
        <v>413.72</v>
      </c>
      <c r="K155" s="679"/>
      <c r="N155" s="676"/>
      <c r="O155" s="679"/>
      <c r="P155" s="684"/>
      <c r="Q155" s="684"/>
    </row>
    <row r="156" spans="1:19" ht="17.25" x14ac:dyDescent="0.3">
      <c r="B156" s="525" t="s">
        <v>216</v>
      </c>
      <c r="C156" s="526">
        <v>519.36</v>
      </c>
      <c r="N156" s="533"/>
      <c r="O156" s="676"/>
      <c r="P156" s="2"/>
      <c r="Q156" s="2"/>
    </row>
    <row r="157" spans="1:19" x14ac:dyDescent="0.25">
      <c r="P157" s="2"/>
      <c r="Q157" s="2"/>
    </row>
    <row r="158" spans="1:19" x14ac:dyDescent="0.25">
      <c r="O158" s="685"/>
    </row>
    <row r="159" spans="1:19" x14ac:dyDescent="0.25">
      <c r="K159" s="683"/>
      <c r="N159" s="676"/>
      <c r="O159" s="683"/>
    </row>
    <row r="160" spans="1:19" x14ac:dyDescent="0.25">
      <c r="O160" s="676"/>
    </row>
    <row r="161" spans="2:19" x14ac:dyDescent="0.25">
      <c r="O161" s="676"/>
    </row>
    <row r="165" spans="2:19" x14ac:dyDescent="0.25">
      <c r="O165" s="676"/>
    </row>
    <row r="166" spans="2:19" s="679" customFormat="1" x14ac:dyDescent="0.25">
      <c r="B166" s="528"/>
      <c r="C166" s="3"/>
      <c r="D166" s="3"/>
      <c r="E166" s="3"/>
      <c r="F166" s="3"/>
      <c r="G166" s="674"/>
      <c r="H166" s="3"/>
      <c r="I166" s="3"/>
      <c r="J166" s="3"/>
      <c r="K166" s="3"/>
      <c r="L166" s="677"/>
      <c r="M166" s="3"/>
      <c r="N166" s="3"/>
      <c r="O166" s="676"/>
      <c r="P166" s="3"/>
      <c r="Q166" s="3"/>
      <c r="R166" s="2"/>
      <c r="S166" s="3"/>
    </row>
    <row r="167" spans="2:19" x14ac:dyDescent="0.25">
      <c r="S167" s="679"/>
    </row>
  </sheetData>
  <sheetProtection formatCells="0" formatColumns="0" formatRows="0"/>
  <protectedRanges>
    <protectedRange password="C670" sqref="P84:Q95 A78:J81 A84:J95 A69:Q72 K78:Q81 K84:O95" name="Maria"/>
    <protectedRange algorithmName="SHA-512" hashValue="R0m7mG/o0t2+7dbQTzM5iQkFX2amgAS+iAGJudQnnweh07e6LDAbSuhvcwbzcp7drP+HIG4d/wHfMCXiBXmkow==" saltValue="hXh6Ce3lteSj/cvmR3BSBw==" spinCount="100000" sqref="P102:Q104 P151:Q151 P121:Q141 A102:N104 A151 A121:N141 C151:N151" name="Narine"/>
    <protectedRange algorithmName="SHA-512" hashValue="vw/tfZfxCvSE0U6Hm2G3C/Aj3bUp3KdD+IHhHinfC+crRPhv3Uapv1zQ/dMQFE5wwqt30lhFdhsH6enTApEPhg==" saltValue="AJSG7Dc7ySbRZF9wPd6fsA==" spinCount="100000" sqref="P104:Q106 A66:J67 A104:N106 K67:N67 K66:M66 P66:Q67" name="Nara"/>
    <protectedRange algorithmName="SHA-512" hashValue="2hnhy85Hze6pXZTujHMyiGA7lE9yapdzAMEgpTAQUbEvX5wkbgVJAYj8efzABUddHb+HHBXm+QO7FFQ7DdcL0Q==" saltValue="/3Se5MhqYIbXZuII16lL6A==" spinCount="100000" sqref="A111:J116 K111:Q116 A77:Q77" name="Nona"/>
    <protectedRange algorithmName="SHA-512" hashValue="vw/tfZfxCvSE0U6Hm2G3C/Aj3bUp3KdD+IHhHinfC+crRPhv3Uapv1zQ/dMQFE5wwqt30lhFdhsH6enTApEPhg==" saltValue="AJSG7Dc7ySbRZF9wPd6fsA==" spinCount="100000" sqref="N66" name="Nara_1"/>
    <protectedRange algorithmName="SHA-512" hashValue="R0m7mG/o0t2+7dbQTzM5iQkFX2amgAS+iAGJudQnnweh07e6LDAbSuhvcwbzcp7drP+HIG4d/wHfMCXiBXmkow==" saltValue="hXh6Ce3lteSj/cvmR3BSBw==" spinCount="100000" sqref="B151" name="Narine_1"/>
  </protectedRanges>
  <mergeCells count="124">
    <mergeCell ref="C23:C24"/>
    <mergeCell ref="D23:D24"/>
    <mergeCell ref="E23:E24"/>
    <mergeCell ref="H23:H24"/>
    <mergeCell ref="P23:P24"/>
    <mergeCell ref="A1:P1"/>
    <mergeCell ref="A2:P2"/>
    <mergeCell ref="A5:A6"/>
    <mergeCell ref="E5:E6"/>
    <mergeCell ref="G5:G6"/>
    <mergeCell ref="A9:A10"/>
    <mergeCell ref="C9:C10"/>
    <mergeCell ref="E9:E10"/>
    <mergeCell ref="G9:G10"/>
    <mergeCell ref="H9:H10"/>
    <mergeCell ref="A13:A14"/>
    <mergeCell ref="C13:C14"/>
    <mergeCell ref="E13:E14"/>
    <mergeCell ref="G13:G14"/>
    <mergeCell ref="H13:H14"/>
    <mergeCell ref="P13:P14"/>
    <mergeCell ref="P9:P10"/>
    <mergeCell ref="A11:A12"/>
    <mergeCell ref="C11:C12"/>
    <mergeCell ref="E11:E12"/>
    <mergeCell ref="G11:G12"/>
    <mergeCell ref="H11:H12"/>
    <mergeCell ref="P11:P12"/>
    <mergeCell ref="P15:P16"/>
    <mergeCell ref="A17:A18"/>
    <mergeCell ref="C17:C18"/>
    <mergeCell ref="D17:D18"/>
    <mergeCell ref="E17:E18"/>
    <mergeCell ref="G17:G18"/>
    <mergeCell ref="H17:H18"/>
    <mergeCell ref="P17:P18"/>
    <mergeCell ref="A15:A16"/>
    <mergeCell ref="C15:C16"/>
    <mergeCell ref="D15:D16"/>
    <mergeCell ref="E15:E16"/>
    <mergeCell ref="G15:G16"/>
    <mergeCell ref="H15:H16"/>
    <mergeCell ref="P19:P20"/>
    <mergeCell ref="A21:A22"/>
    <mergeCell ref="G21:G22"/>
    <mergeCell ref="H21:H22"/>
    <mergeCell ref="P21:P22"/>
    <mergeCell ref="A19:A20"/>
    <mergeCell ref="C19:C22"/>
    <mergeCell ref="D19:D22"/>
    <mergeCell ref="E19:E22"/>
    <mergeCell ref="G19:G20"/>
    <mergeCell ref="H19:H20"/>
    <mergeCell ref="C29:C30"/>
    <mergeCell ref="D29:D30"/>
    <mergeCell ref="E29:E30"/>
    <mergeCell ref="C31:C32"/>
    <mergeCell ref="D31:D32"/>
    <mergeCell ref="E31:E32"/>
    <mergeCell ref="P25:P26"/>
    <mergeCell ref="A27:A28"/>
    <mergeCell ref="G27:G28"/>
    <mergeCell ref="H27:H28"/>
    <mergeCell ref="P27:P28"/>
    <mergeCell ref="A25:A26"/>
    <mergeCell ref="C25:C28"/>
    <mergeCell ref="D25:D28"/>
    <mergeCell ref="E25:E28"/>
    <mergeCell ref="G25:G26"/>
    <mergeCell ref="H25:H26"/>
    <mergeCell ref="H33:H34"/>
    <mergeCell ref="A36:A38"/>
    <mergeCell ref="C36:C38"/>
    <mergeCell ref="D36:D38"/>
    <mergeCell ref="E36:E38"/>
    <mergeCell ref="G36:G38"/>
    <mergeCell ref="A33:A34"/>
    <mergeCell ref="B33:B34"/>
    <mergeCell ref="C33:C34"/>
    <mergeCell ref="D33:D34"/>
    <mergeCell ref="E33:E34"/>
    <mergeCell ref="G33:G34"/>
    <mergeCell ref="P57:P58"/>
    <mergeCell ref="A60:A61"/>
    <mergeCell ref="C60:C61"/>
    <mergeCell ref="P60:P61"/>
    <mergeCell ref="P36:P38"/>
    <mergeCell ref="A47:A48"/>
    <mergeCell ref="C47:C48"/>
    <mergeCell ref="E47:E48"/>
    <mergeCell ref="G47:G48"/>
    <mergeCell ref="H47:H48"/>
    <mergeCell ref="P47:P48"/>
    <mergeCell ref="A62:C65"/>
    <mergeCell ref="A73:C76"/>
    <mergeCell ref="A80:A81"/>
    <mergeCell ref="B80:B81"/>
    <mergeCell ref="C80:C81"/>
    <mergeCell ref="H80:H81"/>
    <mergeCell ref="D49:D50"/>
    <mergeCell ref="E49:E50"/>
    <mergeCell ref="A51:C55"/>
    <mergeCell ref="A142:C145"/>
    <mergeCell ref="A146:C150"/>
    <mergeCell ref="B41:B42"/>
    <mergeCell ref="F41:F42"/>
    <mergeCell ref="E41:E42"/>
    <mergeCell ref="P97:P98"/>
    <mergeCell ref="A107:C110"/>
    <mergeCell ref="C112:C114"/>
    <mergeCell ref="A117:C120"/>
    <mergeCell ref="A97:A98"/>
    <mergeCell ref="B97:B98"/>
    <mergeCell ref="C97:C98"/>
    <mergeCell ref="D97:D98"/>
    <mergeCell ref="G97:G98"/>
    <mergeCell ref="H97:H98"/>
    <mergeCell ref="P85:P87"/>
    <mergeCell ref="A90:A91"/>
    <mergeCell ref="B90:B91"/>
    <mergeCell ref="C90:C91"/>
    <mergeCell ref="D90:D91"/>
    <mergeCell ref="G90:G91"/>
    <mergeCell ref="P90:P91"/>
  </mergeCells>
  <conditionalFormatting sqref="K5">
    <cfRule type="cellIs" dxfId="24" priority="6" operator="notEqual">
      <formula>#REF!</formula>
    </cfRule>
  </conditionalFormatting>
  <conditionalFormatting sqref="K99 K6:K35 K37:K40 K47:K49 K43:K45">
    <cfRule type="cellIs" dxfId="23" priority="5" operator="notEqual">
      <formula>#REF!</formula>
    </cfRule>
  </conditionalFormatting>
  <conditionalFormatting sqref="J21">
    <cfRule type="cellIs" dxfId="22" priority="4" operator="notEqual">
      <formula>#REF!</formula>
    </cfRule>
  </conditionalFormatting>
  <conditionalFormatting sqref="K50">
    <cfRule type="cellIs" dxfId="21" priority="3" operator="notEqual">
      <formula>#REF!</formula>
    </cfRule>
  </conditionalFormatting>
  <conditionalFormatting sqref="K83">
    <cfRule type="cellIs" dxfId="20" priority="2" operator="notEqual">
      <formula>#REF!</formula>
    </cfRule>
  </conditionalFormatting>
  <conditionalFormatting sqref="K100:K101">
    <cfRule type="cellIs" dxfId="19" priority="1" operator="notEqual">
      <formula>#REF!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67"/>
  <sheetViews>
    <sheetView topLeftCell="B1" zoomScale="90" zoomScaleNormal="90" workbookViewId="0">
      <pane xSplit="1" ySplit="4" topLeftCell="E131" activePane="bottomRight" state="frozen"/>
      <selection activeCell="B1" sqref="B1"/>
      <selection pane="topRight" activeCell="C1" sqref="C1"/>
      <selection pane="bottomLeft" activeCell="B5" sqref="B5"/>
      <selection pane="bottomRight" activeCell="B133" sqref="B133"/>
    </sheetView>
  </sheetViews>
  <sheetFormatPr defaultRowHeight="13.5" outlineLevelRow="1" x14ac:dyDescent="0.25"/>
  <cols>
    <col min="1" max="1" width="6.85546875" style="3" customWidth="1"/>
    <col min="2" max="2" width="30.42578125" style="528" customWidth="1"/>
    <col min="3" max="3" width="30.42578125" style="3" customWidth="1"/>
    <col min="4" max="5" width="19.28515625" style="3" customWidth="1"/>
    <col min="6" max="6" width="23" style="3" customWidth="1"/>
    <col min="7" max="7" width="23.28515625" style="674" customWidth="1"/>
    <col min="8" max="8" width="20.140625" style="3" customWidth="1"/>
    <col min="9" max="9" width="16.42578125" style="3" bestFit="1" customWidth="1"/>
    <col min="10" max="10" width="21.28515625" style="3" customWidth="1"/>
    <col min="11" max="11" width="20.28515625" style="3" customWidth="1"/>
    <col min="12" max="12" width="21.7109375" style="677" customWidth="1"/>
    <col min="13" max="13" width="18.5703125" style="3" customWidth="1"/>
    <col min="14" max="14" width="18.85546875" style="3" bestFit="1" customWidth="1"/>
    <col min="15" max="15" width="26.7109375" style="3" bestFit="1" customWidth="1"/>
    <col min="16" max="16" width="26.42578125" style="3" customWidth="1"/>
    <col min="17" max="17" width="23.42578125" style="3" customWidth="1"/>
    <col min="18" max="18" width="23.5703125" style="2" customWidth="1"/>
    <col min="19" max="19" width="21.85546875" style="3" customWidth="1"/>
    <col min="20" max="16384" width="9.140625" style="3"/>
  </cols>
  <sheetData>
    <row r="1" spans="1:19" ht="22.5" x14ac:dyDescent="0.4">
      <c r="A1" s="529" t="s">
        <v>15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30"/>
    </row>
    <row r="2" spans="1:19" ht="38.25" customHeight="1" x14ac:dyDescent="0.4">
      <c r="A2" s="531" t="s">
        <v>485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2"/>
    </row>
    <row r="3" spans="1:19" ht="33.75" customHeight="1" thickBot="1" x14ac:dyDescent="0.3">
      <c r="A3" s="533"/>
      <c r="C3" s="533"/>
      <c r="D3" s="533"/>
      <c r="E3" s="533"/>
      <c r="F3" s="533"/>
      <c r="G3" s="534"/>
      <c r="H3" s="533"/>
      <c r="I3" s="533"/>
      <c r="J3" s="533"/>
      <c r="K3" s="533"/>
      <c r="L3" s="535"/>
      <c r="M3" s="533"/>
      <c r="N3" s="533"/>
      <c r="O3" s="533"/>
      <c r="P3" s="533"/>
      <c r="Q3" s="536"/>
    </row>
    <row r="4" spans="1:19" s="6" customFormat="1" ht="114" customHeight="1" thickBot="1" x14ac:dyDescent="0.3">
      <c r="A4" s="537" t="s">
        <v>128</v>
      </c>
      <c r="B4" s="538" t="s">
        <v>35</v>
      </c>
      <c r="C4" s="538" t="s">
        <v>153</v>
      </c>
      <c r="D4" s="538" t="s">
        <v>154</v>
      </c>
      <c r="E4" s="538" t="s">
        <v>435</v>
      </c>
      <c r="F4" s="538" t="s">
        <v>429</v>
      </c>
      <c r="G4" s="538" t="s">
        <v>14</v>
      </c>
      <c r="H4" s="538" t="s">
        <v>343</v>
      </c>
      <c r="I4" s="538" t="s">
        <v>20</v>
      </c>
      <c r="J4" s="538" t="s">
        <v>345</v>
      </c>
      <c r="K4" s="538" t="s">
        <v>347</v>
      </c>
      <c r="L4" s="539" t="s">
        <v>344</v>
      </c>
      <c r="M4" s="538" t="s">
        <v>5</v>
      </c>
      <c r="N4" s="538" t="s">
        <v>22</v>
      </c>
      <c r="O4" s="538" t="s">
        <v>6</v>
      </c>
      <c r="P4" s="538" t="s">
        <v>7</v>
      </c>
      <c r="Q4" s="540" t="s">
        <v>427</v>
      </c>
      <c r="R4" s="5"/>
      <c r="S4" s="541"/>
    </row>
    <row r="5" spans="1:19" ht="75" customHeight="1" outlineLevel="1" x14ac:dyDescent="0.25">
      <c r="A5" s="542">
        <v>1</v>
      </c>
      <c r="B5" s="367" t="s">
        <v>27</v>
      </c>
      <c r="C5" s="543" t="s">
        <v>40</v>
      </c>
      <c r="D5" s="513" t="s">
        <v>61</v>
      </c>
      <c r="E5" s="544" t="s">
        <v>436</v>
      </c>
      <c r="F5" s="513" t="s">
        <v>430</v>
      </c>
      <c r="G5" s="545" t="s">
        <v>39</v>
      </c>
      <c r="H5" s="513" t="s">
        <v>76</v>
      </c>
      <c r="I5" s="546" t="s">
        <v>30</v>
      </c>
      <c r="J5" s="287">
        <v>7300000</v>
      </c>
      <c r="K5" s="287">
        <f>5822389.5+13412.1+4470.7+716451.75+24588.85+716451.75+2235.35</f>
        <v>7299999.9999999991</v>
      </c>
      <c r="L5" s="547" t="s">
        <v>97</v>
      </c>
      <c r="M5" s="287">
        <f>595000+119000+119000+119000+119000+119000+119000+49036330/412.07</f>
        <v>1428000</v>
      </c>
      <c r="N5" s="287">
        <f>652083.5+22907.49+9236384.2/412.07</f>
        <v>697405.58994661097</v>
      </c>
      <c r="O5" s="287">
        <f>K5-M5</f>
        <v>5871999.9999999991</v>
      </c>
      <c r="P5" s="517" t="s">
        <v>437</v>
      </c>
      <c r="Q5" s="518" t="s">
        <v>428</v>
      </c>
      <c r="S5" s="2"/>
    </row>
    <row r="6" spans="1:19" ht="75.75" customHeight="1" outlineLevel="1" x14ac:dyDescent="0.25">
      <c r="A6" s="506"/>
      <c r="B6" s="282" t="s">
        <v>27</v>
      </c>
      <c r="C6" s="548" t="s">
        <v>41</v>
      </c>
      <c r="D6" s="513" t="s">
        <v>61</v>
      </c>
      <c r="E6" s="544"/>
      <c r="F6" s="368" t="s">
        <v>430</v>
      </c>
      <c r="G6" s="549"/>
      <c r="H6" s="368" t="s">
        <v>75</v>
      </c>
      <c r="I6" s="503" t="s">
        <v>30</v>
      </c>
      <c r="J6" s="284">
        <v>7300000</v>
      </c>
      <c r="K6" s="284">
        <v>7299999.9999999981</v>
      </c>
      <c r="L6" s="550" t="s">
        <v>62</v>
      </c>
      <c r="M6" s="284">
        <f>5474999.9+304166.7+304166.7+304166.7+304166.7+304166.7+304167</f>
        <v>7300000.4000000013</v>
      </c>
      <c r="N6" s="284">
        <f>1226756+8356.16+4154.77</f>
        <v>1239266.93</v>
      </c>
      <c r="O6" s="284">
        <f t="shared" ref="O6:O35" si="0">K6-M6</f>
        <v>-0.40000000316649675</v>
      </c>
      <c r="P6" s="291" t="s">
        <v>36</v>
      </c>
      <c r="Q6" s="369" t="s">
        <v>482</v>
      </c>
      <c r="S6" s="2"/>
    </row>
    <row r="7" spans="1:19" ht="79.5" customHeight="1" outlineLevel="1" x14ac:dyDescent="0.25">
      <c r="A7" s="225">
        <v>2</v>
      </c>
      <c r="B7" s="282" t="s">
        <v>27</v>
      </c>
      <c r="C7" s="282" t="s">
        <v>37</v>
      </c>
      <c r="D7" s="368" t="s">
        <v>61</v>
      </c>
      <c r="E7" s="551" t="s">
        <v>438</v>
      </c>
      <c r="F7" s="368" t="s">
        <v>430</v>
      </c>
      <c r="G7" s="551" t="s">
        <v>38</v>
      </c>
      <c r="H7" s="368" t="s">
        <v>77</v>
      </c>
      <c r="I7" s="503" t="s">
        <v>30</v>
      </c>
      <c r="J7" s="284">
        <v>14060526.73</v>
      </c>
      <c r="K7" s="284">
        <v>14060526.73</v>
      </c>
      <c r="L7" s="290">
        <v>7.4999999999999997E-3</v>
      </c>
      <c r="M7" s="284">
        <f>5858552.73979552+234342.1+234342.1+98055764.9/418.43+98932204.4/422.17+104987604.2/448.01+97345708.3/415.4+96565349.2/412.07</f>
        <v>7498947.4398756567</v>
      </c>
      <c r="N7" s="284">
        <f>1294472.69934396+40254.3+39195.3+16095956/418.43+15796672.6/422.17+16433280.1/448.01+14866002.9/415.4+14315888.7/412.07</f>
        <v>1557016.8093066525</v>
      </c>
      <c r="O7" s="284">
        <f t="shared" si="0"/>
        <v>6561579.2901243437</v>
      </c>
      <c r="P7" s="291" t="s">
        <v>108</v>
      </c>
      <c r="Q7" s="369" t="s">
        <v>428</v>
      </c>
      <c r="S7" s="2"/>
    </row>
    <row r="8" spans="1:19" ht="78.75" customHeight="1" outlineLevel="1" x14ac:dyDescent="0.25">
      <c r="A8" s="225">
        <v>3</v>
      </c>
      <c r="B8" s="282" t="s">
        <v>27</v>
      </c>
      <c r="C8" s="282" t="s">
        <v>33</v>
      </c>
      <c r="D8" s="368" t="s">
        <v>61</v>
      </c>
      <c r="E8" s="551" t="s">
        <v>443</v>
      </c>
      <c r="F8" s="368" t="s">
        <v>430</v>
      </c>
      <c r="G8" s="552" t="s">
        <v>34</v>
      </c>
      <c r="H8" s="368" t="s">
        <v>78</v>
      </c>
      <c r="I8" s="503" t="s">
        <v>30</v>
      </c>
      <c r="J8" s="284">
        <v>75000000</v>
      </c>
      <c r="K8" s="284"/>
      <c r="L8" s="290" t="s">
        <v>240</v>
      </c>
      <c r="M8" s="284"/>
      <c r="N8" s="284">
        <f>1932812.5+93750+93750+93750+93750+42000937.5/448.01+38943750/415.4+38631562.5/412.07</f>
        <v>2589062.5</v>
      </c>
      <c r="O8" s="284">
        <f t="shared" si="0"/>
        <v>0</v>
      </c>
      <c r="P8" s="291" t="s">
        <v>36</v>
      </c>
      <c r="Q8" s="369" t="s">
        <v>428</v>
      </c>
      <c r="S8" s="2"/>
    </row>
    <row r="9" spans="1:19" ht="81.75" customHeight="1" outlineLevel="1" x14ac:dyDescent="0.25">
      <c r="A9" s="498">
        <v>4</v>
      </c>
      <c r="B9" s="553" t="s">
        <v>27</v>
      </c>
      <c r="C9" s="500" t="s">
        <v>33</v>
      </c>
      <c r="D9" s="368" t="s">
        <v>61</v>
      </c>
      <c r="E9" s="554" t="s">
        <v>443</v>
      </c>
      <c r="F9" s="368" t="s">
        <v>430</v>
      </c>
      <c r="G9" s="501" t="s">
        <v>34</v>
      </c>
      <c r="H9" s="555" t="s">
        <v>79</v>
      </c>
      <c r="I9" s="503" t="s">
        <v>30</v>
      </c>
      <c r="J9" s="284">
        <v>10200000</v>
      </c>
      <c r="K9" s="284">
        <v>1394165.42</v>
      </c>
      <c r="L9" s="556" t="s">
        <v>97</v>
      </c>
      <c r="M9" s="284">
        <v>0</v>
      </c>
      <c r="N9" s="284">
        <f>200690.672577969+15587.2+6522152.1/418.43+6580448.3/422.17+6983221.5/448.01+6474922.9/415.4+6488083.3/412.07</f>
        <v>294371.77273986983</v>
      </c>
      <c r="O9" s="284">
        <f>K9-M9</f>
        <v>1394165.42</v>
      </c>
      <c r="P9" s="500" t="s">
        <v>36</v>
      </c>
      <c r="Q9" s="369" t="s">
        <v>428</v>
      </c>
      <c r="S9" s="2"/>
    </row>
    <row r="10" spans="1:19" ht="76.5" customHeight="1" outlineLevel="1" x14ac:dyDescent="0.25">
      <c r="A10" s="506"/>
      <c r="B10" s="553" t="s">
        <v>27</v>
      </c>
      <c r="C10" s="507"/>
      <c r="D10" s="368" t="s">
        <v>414</v>
      </c>
      <c r="E10" s="545"/>
      <c r="F10" s="513" t="s">
        <v>431</v>
      </c>
      <c r="G10" s="508"/>
      <c r="H10" s="557"/>
      <c r="I10" s="503" t="s">
        <v>51</v>
      </c>
      <c r="J10" s="284"/>
      <c r="K10" s="284">
        <v>267052669.90000001</v>
      </c>
      <c r="L10" s="556" t="s">
        <v>97</v>
      </c>
      <c r="M10" s="284"/>
      <c r="N10" s="284">
        <f>9774294.3+915305.4+915305.4+915305.4+915305.4+937784.6</f>
        <v>14373300.500000002</v>
      </c>
      <c r="O10" s="284">
        <f>K10-M10</f>
        <v>267052669.90000001</v>
      </c>
      <c r="P10" s="507"/>
      <c r="Q10" s="518" t="s">
        <v>428</v>
      </c>
      <c r="S10" s="2"/>
    </row>
    <row r="11" spans="1:19" ht="76.5" customHeight="1" outlineLevel="1" x14ac:dyDescent="0.25">
      <c r="A11" s="498">
        <v>5</v>
      </c>
      <c r="B11" s="553" t="s">
        <v>27</v>
      </c>
      <c r="C11" s="500" t="s">
        <v>186</v>
      </c>
      <c r="D11" s="368" t="s">
        <v>56</v>
      </c>
      <c r="E11" s="501" t="s">
        <v>444</v>
      </c>
      <c r="F11" s="368" t="s">
        <v>430</v>
      </c>
      <c r="G11" s="501" t="s">
        <v>190</v>
      </c>
      <c r="H11" s="555" t="s">
        <v>305</v>
      </c>
      <c r="I11" s="503" t="s">
        <v>30</v>
      </c>
      <c r="J11" s="284">
        <v>10000000</v>
      </c>
      <c r="K11" s="284"/>
      <c r="L11" s="556" t="s">
        <v>98</v>
      </c>
      <c r="M11" s="284"/>
      <c r="N11" s="284">
        <v>50000</v>
      </c>
      <c r="O11" s="284">
        <f>K11-M11</f>
        <v>0</v>
      </c>
      <c r="P11" s="500" t="s">
        <v>196</v>
      </c>
      <c r="Q11" s="369" t="s">
        <v>428</v>
      </c>
      <c r="S11" s="2"/>
    </row>
    <row r="12" spans="1:19" ht="76.5" customHeight="1" outlineLevel="1" x14ac:dyDescent="0.25">
      <c r="A12" s="506"/>
      <c r="B12" s="553" t="s">
        <v>27</v>
      </c>
      <c r="C12" s="507"/>
      <c r="D12" s="368" t="s">
        <v>414</v>
      </c>
      <c r="E12" s="508"/>
      <c r="F12" s="368" t="s">
        <v>431</v>
      </c>
      <c r="G12" s="508"/>
      <c r="H12" s="557"/>
      <c r="I12" s="368" t="s">
        <v>51</v>
      </c>
      <c r="J12" s="284"/>
      <c r="K12" s="284"/>
      <c r="L12" s="556" t="s">
        <v>98</v>
      </c>
      <c r="M12" s="284"/>
      <c r="N12" s="284"/>
      <c r="O12" s="284">
        <f t="shared" si="0"/>
        <v>0</v>
      </c>
      <c r="P12" s="507"/>
      <c r="Q12" s="518" t="s">
        <v>428</v>
      </c>
      <c r="S12" s="2"/>
    </row>
    <row r="13" spans="1:19" ht="76.5" customHeight="1" outlineLevel="1" x14ac:dyDescent="0.25">
      <c r="A13" s="498">
        <v>6</v>
      </c>
      <c r="B13" s="553" t="s">
        <v>27</v>
      </c>
      <c r="C13" s="500" t="s">
        <v>187</v>
      </c>
      <c r="D13" s="368" t="s">
        <v>61</v>
      </c>
      <c r="E13" s="501" t="s">
        <v>445</v>
      </c>
      <c r="F13" s="368" t="s">
        <v>430</v>
      </c>
      <c r="G13" s="501" t="s">
        <v>189</v>
      </c>
      <c r="H13" s="555" t="s">
        <v>188</v>
      </c>
      <c r="I13" s="503" t="s">
        <v>30</v>
      </c>
      <c r="J13" s="284">
        <v>83000000</v>
      </c>
      <c r="K13" s="284"/>
      <c r="L13" s="556" t="s">
        <v>415</v>
      </c>
      <c r="M13" s="284"/>
      <c r="N13" s="284">
        <f>1930326.40003794+103750+103750+103750+103750+46481037.5/448.01+43097750/415.4+42752262.5/412.07</f>
        <v>2656576.4000379397</v>
      </c>
      <c r="O13" s="284">
        <f t="shared" si="0"/>
        <v>0</v>
      </c>
      <c r="P13" s="500" t="s">
        <v>36</v>
      </c>
      <c r="Q13" s="369" t="s">
        <v>428</v>
      </c>
      <c r="S13" s="2"/>
    </row>
    <row r="14" spans="1:19" ht="76.5" customHeight="1" outlineLevel="1" x14ac:dyDescent="0.25">
      <c r="A14" s="506"/>
      <c r="B14" s="553" t="s">
        <v>27</v>
      </c>
      <c r="C14" s="507"/>
      <c r="D14" s="368" t="s">
        <v>414</v>
      </c>
      <c r="E14" s="508"/>
      <c r="F14" s="368" t="s">
        <v>431</v>
      </c>
      <c r="G14" s="508"/>
      <c r="H14" s="557"/>
      <c r="I14" s="368" t="s">
        <v>51</v>
      </c>
      <c r="J14" s="284"/>
      <c r="K14" s="284"/>
      <c r="L14" s="556" t="s">
        <v>415</v>
      </c>
      <c r="M14" s="284"/>
      <c r="N14" s="284"/>
      <c r="O14" s="284">
        <f t="shared" si="0"/>
        <v>0</v>
      </c>
      <c r="P14" s="507"/>
      <c r="Q14" s="518" t="s">
        <v>428</v>
      </c>
      <c r="R14" s="10"/>
      <c r="S14" s="2"/>
    </row>
    <row r="15" spans="1:19" ht="96.75" customHeight="1" outlineLevel="1" x14ac:dyDescent="0.25">
      <c r="A15" s="498">
        <v>7</v>
      </c>
      <c r="B15" s="553" t="s">
        <v>27</v>
      </c>
      <c r="C15" s="500" t="s">
        <v>47</v>
      </c>
      <c r="D15" s="555" t="s">
        <v>48</v>
      </c>
      <c r="E15" s="501" t="s">
        <v>446</v>
      </c>
      <c r="F15" s="368" t="s">
        <v>430</v>
      </c>
      <c r="G15" s="501" t="s">
        <v>49</v>
      </c>
      <c r="H15" s="555" t="s">
        <v>90</v>
      </c>
      <c r="I15" s="503" t="s">
        <v>26</v>
      </c>
      <c r="J15" s="284">
        <f>35500000-1434414.8</f>
        <v>34065585.200000003</v>
      </c>
      <c r="K15" s="284">
        <v>34065585.200000003</v>
      </c>
      <c r="L15" s="558" t="s">
        <v>399</v>
      </c>
      <c r="M15" s="284">
        <f>3406558.5+438685248.4/386.33+457603003.3/402.99+440229555/387.69+440172817.8/387.64</f>
        <v>7948636.6001575328</v>
      </c>
      <c r="N15" s="284">
        <f>6927866.15+372600334/386.33+433310604.9/402.99+419066992.3/387.69+399479184.6/387.64</f>
        <v>11079041.449912922</v>
      </c>
      <c r="O15" s="284">
        <f t="shared" si="0"/>
        <v>26116948.59984247</v>
      </c>
      <c r="P15" s="500" t="s">
        <v>31</v>
      </c>
      <c r="Q15" s="369" t="s">
        <v>428</v>
      </c>
      <c r="R15" s="10"/>
      <c r="S15" s="2"/>
    </row>
    <row r="16" spans="1:19" ht="81.75" customHeight="1" outlineLevel="1" x14ac:dyDescent="0.25">
      <c r="A16" s="506"/>
      <c r="B16" s="553" t="s">
        <v>27</v>
      </c>
      <c r="C16" s="507"/>
      <c r="D16" s="557"/>
      <c r="E16" s="508"/>
      <c r="F16" s="368" t="s">
        <v>431</v>
      </c>
      <c r="G16" s="508"/>
      <c r="H16" s="557"/>
      <c r="I16" s="368" t="s">
        <v>51</v>
      </c>
      <c r="J16" s="284"/>
      <c r="K16" s="284">
        <v>3680136115.8000002</v>
      </c>
      <c r="L16" s="558" t="s">
        <v>399</v>
      </c>
      <c r="M16" s="284">
        <f>387003402.1+121967878.3+121967878.3+121967878.3+121967878.2</f>
        <v>874874915.20000005</v>
      </c>
      <c r="N16" s="284">
        <f>743758864.24+103594252.5+115493072.7+116104685.6+110692047.4</f>
        <v>1189642922.4400001</v>
      </c>
      <c r="O16" s="284">
        <f t="shared" si="0"/>
        <v>2805261200.6000004</v>
      </c>
      <c r="P16" s="507"/>
      <c r="Q16" s="518" t="s">
        <v>428</v>
      </c>
      <c r="R16" s="10"/>
      <c r="S16" s="2"/>
    </row>
    <row r="17" spans="1:18" s="2" customFormat="1" ht="66.75" customHeight="1" outlineLevel="1" x14ac:dyDescent="0.25">
      <c r="A17" s="498">
        <v>8</v>
      </c>
      <c r="B17" s="553" t="s">
        <v>27</v>
      </c>
      <c r="C17" s="500" t="s">
        <v>50</v>
      </c>
      <c r="D17" s="555" t="s">
        <v>48</v>
      </c>
      <c r="E17" s="501" t="s">
        <v>447</v>
      </c>
      <c r="F17" s="368" t="s">
        <v>430</v>
      </c>
      <c r="G17" s="501" t="s">
        <v>28</v>
      </c>
      <c r="H17" s="501" t="s">
        <v>91</v>
      </c>
      <c r="I17" s="503" t="s">
        <v>26</v>
      </c>
      <c r="J17" s="559">
        <f>40000000-2500000-1500000</f>
        <v>36000000</v>
      </c>
      <c r="K17" s="284">
        <v>25459684.080000002</v>
      </c>
      <c r="L17" s="290" t="s">
        <v>399</v>
      </c>
      <c r="M17" s="284">
        <f>329635002.4/388.42+336424290.8/396.42</f>
        <v>1697312.3000877418</v>
      </c>
      <c r="N17" s="284">
        <f>4091306.45123489+373977422.6/403.57+376544951.9/388.42+344941572.7/396.42</f>
        <v>6857548.4512623288</v>
      </c>
      <c r="O17" s="284">
        <f t="shared" si="0"/>
        <v>23762371.779912259</v>
      </c>
      <c r="P17" s="500" t="s">
        <v>31</v>
      </c>
      <c r="Q17" s="369" t="s">
        <v>428</v>
      </c>
      <c r="R17" s="10"/>
    </row>
    <row r="18" spans="1:18" s="2" customFormat="1" ht="58.5" customHeight="1" outlineLevel="1" x14ac:dyDescent="0.25">
      <c r="A18" s="506"/>
      <c r="B18" s="553" t="s">
        <v>27</v>
      </c>
      <c r="C18" s="507"/>
      <c r="D18" s="557"/>
      <c r="E18" s="508"/>
      <c r="F18" s="368" t="s">
        <v>431</v>
      </c>
      <c r="G18" s="508"/>
      <c r="H18" s="508"/>
      <c r="I18" s="368" t="s">
        <v>51</v>
      </c>
      <c r="J18" s="559"/>
      <c r="K18" s="284">
        <v>1298785286.0000002</v>
      </c>
      <c r="L18" s="290" t="s">
        <v>399</v>
      </c>
      <c r="M18" s="284">
        <f>563212.2+43274069.1+43274069.2</f>
        <v>87111350.5</v>
      </c>
      <c r="N18" s="284">
        <f>165583419.3+41681454.8+49409773.1+44369647.7</f>
        <v>301044294.90000004</v>
      </c>
      <c r="O18" s="284">
        <f t="shared" si="0"/>
        <v>1211673935.5000002</v>
      </c>
      <c r="P18" s="507"/>
      <c r="Q18" s="518" t="s">
        <v>428</v>
      </c>
      <c r="R18" s="10"/>
    </row>
    <row r="19" spans="1:18" s="2" customFormat="1" ht="70.5" customHeight="1" outlineLevel="1" x14ac:dyDescent="0.25">
      <c r="A19" s="498">
        <v>9</v>
      </c>
      <c r="B19" s="499" t="s">
        <v>27</v>
      </c>
      <c r="C19" s="500" t="s">
        <v>142</v>
      </c>
      <c r="D19" s="555" t="s">
        <v>48</v>
      </c>
      <c r="E19" s="549" t="s">
        <v>442</v>
      </c>
      <c r="F19" s="368" t="s">
        <v>430</v>
      </c>
      <c r="G19" s="544" t="s">
        <v>143</v>
      </c>
      <c r="H19" s="501" t="s">
        <v>218</v>
      </c>
      <c r="I19" s="503" t="s">
        <v>26</v>
      </c>
      <c r="J19" s="559">
        <v>23194486</v>
      </c>
      <c r="K19" s="284">
        <v>16720826.98</v>
      </c>
      <c r="L19" s="556" t="s">
        <v>399</v>
      </c>
      <c r="M19" s="284">
        <v>0</v>
      </c>
      <c r="N19" s="284">
        <f>1316813.632+122778919.2/386.33+153358408.7/402.99+182294474.3/387.69+212998140.2/387.64</f>
        <v>3034854.3323239107</v>
      </c>
      <c r="O19" s="284">
        <f t="shared" si="0"/>
        <v>16720826.98</v>
      </c>
      <c r="P19" s="500" t="s">
        <v>31</v>
      </c>
      <c r="Q19" s="369" t="s">
        <v>428</v>
      </c>
      <c r="R19" s="10"/>
    </row>
    <row r="20" spans="1:18" s="2" customFormat="1" ht="66.75" customHeight="1" outlineLevel="1" x14ac:dyDescent="0.25">
      <c r="A20" s="506"/>
      <c r="B20" s="499" t="s">
        <v>27</v>
      </c>
      <c r="C20" s="560"/>
      <c r="D20" s="561"/>
      <c r="E20" s="549"/>
      <c r="F20" s="368" t="s">
        <v>431</v>
      </c>
      <c r="G20" s="544"/>
      <c r="H20" s="508"/>
      <c r="I20" s="368" t="s">
        <v>51</v>
      </c>
      <c r="J20" s="559"/>
      <c r="K20" s="284">
        <v>1973636541.8999999</v>
      </c>
      <c r="L20" s="556" t="s">
        <v>399</v>
      </c>
      <c r="M20" s="284">
        <v>91463799.799999997</v>
      </c>
      <c r="N20" s="284">
        <f>119885553.7+36155098.5+43333756.7+53344969.4+61110243.5</f>
        <v>313829621.79999995</v>
      </c>
      <c r="O20" s="284">
        <f t="shared" si="0"/>
        <v>1882172742.0999999</v>
      </c>
      <c r="P20" s="507"/>
      <c r="Q20" s="369" t="s">
        <v>428</v>
      </c>
      <c r="R20" s="10"/>
    </row>
    <row r="21" spans="1:18" s="2" customFormat="1" ht="48" customHeight="1" outlineLevel="1" x14ac:dyDescent="0.25">
      <c r="A21" s="498">
        <v>10</v>
      </c>
      <c r="B21" s="499" t="s">
        <v>144</v>
      </c>
      <c r="C21" s="560"/>
      <c r="D21" s="561"/>
      <c r="E21" s="549"/>
      <c r="F21" s="368" t="s">
        <v>430</v>
      </c>
      <c r="G21" s="501" t="s">
        <v>165</v>
      </c>
      <c r="H21" s="501" t="s">
        <v>218</v>
      </c>
      <c r="I21" s="503" t="s">
        <v>26</v>
      </c>
      <c r="J21" s="284">
        <v>16662617.070000002</v>
      </c>
      <c r="K21" s="284">
        <v>16662617.070000002</v>
      </c>
      <c r="L21" s="556" t="s">
        <v>399</v>
      </c>
      <c r="M21" s="284"/>
      <c r="N21" s="284">
        <f>2194958+182027405/386.38+218562808/403.19+223111756.9/387.69+221137804.8/387.64</f>
        <v>4354113.9020888004</v>
      </c>
      <c r="O21" s="284">
        <f t="shared" si="0"/>
        <v>16662617.070000002</v>
      </c>
      <c r="P21" s="500" t="s">
        <v>31</v>
      </c>
      <c r="Q21" s="282" t="s">
        <v>428</v>
      </c>
      <c r="R21" s="10"/>
    </row>
    <row r="22" spans="1:18" s="2" customFormat="1" ht="54.75" customHeight="1" outlineLevel="1" x14ac:dyDescent="0.25">
      <c r="A22" s="506"/>
      <c r="B22" s="499" t="s">
        <v>144</v>
      </c>
      <c r="C22" s="507"/>
      <c r="D22" s="557"/>
      <c r="E22" s="549"/>
      <c r="F22" s="368" t="s">
        <v>431</v>
      </c>
      <c r="G22" s="508"/>
      <c r="H22" s="508"/>
      <c r="I22" s="503" t="s">
        <v>51</v>
      </c>
      <c r="J22" s="562"/>
      <c r="K22" s="284">
        <v>2003005775.2</v>
      </c>
      <c r="L22" s="556" t="s">
        <v>399</v>
      </c>
      <c r="M22" s="284"/>
      <c r="N22" s="284">
        <f>238604865.8+56631905+65163658.9+69156989.1+68598623.2</f>
        <v>498156041.99999994</v>
      </c>
      <c r="O22" s="284">
        <f t="shared" si="0"/>
        <v>2003005775.2</v>
      </c>
      <c r="P22" s="507"/>
      <c r="Q22" s="282" t="s">
        <v>428</v>
      </c>
      <c r="R22" s="10"/>
    </row>
    <row r="23" spans="1:18" s="2" customFormat="1" ht="54.75" customHeight="1" outlineLevel="1" x14ac:dyDescent="0.25">
      <c r="A23" s="563"/>
      <c r="B23" s="553" t="s">
        <v>27</v>
      </c>
      <c r="C23" s="500" t="s">
        <v>476</v>
      </c>
      <c r="D23" s="555" t="s">
        <v>48</v>
      </c>
      <c r="E23" s="554" t="s">
        <v>478</v>
      </c>
      <c r="F23" s="368" t="s">
        <v>430</v>
      </c>
      <c r="G23" s="564"/>
      <c r="H23" s="554" t="s">
        <v>477</v>
      </c>
      <c r="I23" s="503" t="s">
        <v>26</v>
      </c>
      <c r="J23" s="559">
        <v>40000000</v>
      </c>
      <c r="K23" s="284">
        <v>100000</v>
      </c>
      <c r="L23" s="556"/>
      <c r="M23" s="284"/>
      <c r="N23" s="284"/>
      <c r="O23" s="284">
        <f t="shared" si="0"/>
        <v>100000</v>
      </c>
      <c r="P23" s="500" t="s">
        <v>31</v>
      </c>
      <c r="Q23" s="282" t="s">
        <v>428</v>
      </c>
      <c r="R23" s="10"/>
    </row>
    <row r="24" spans="1:18" s="2" customFormat="1" ht="54.75" customHeight="1" outlineLevel="1" x14ac:dyDescent="0.25">
      <c r="A24" s="563"/>
      <c r="B24" s="553" t="s">
        <v>27</v>
      </c>
      <c r="C24" s="507"/>
      <c r="D24" s="557"/>
      <c r="E24" s="545"/>
      <c r="F24" s="368" t="s">
        <v>431</v>
      </c>
      <c r="G24" s="564"/>
      <c r="H24" s="545"/>
      <c r="I24" s="503" t="s">
        <v>51</v>
      </c>
      <c r="J24" s="559"/>
      <c r="K24" s="284"/>
      <c r="L24" s="556"/>
      <c r="M24" s="284"/>
      <c r="N24" s="284"/>
      <c r="O24" s="284">
        <f t="shared" si="0"/>
        <v>0</v>
      </c>
      <c r="P24" s="507"/>
      <c r="Q24" s="282" t="s">
        <v>428</v>
      </c>
      <c r="R24" s="10"/>
    </row>
    <row r="25" spans="1:18" s="2" customFormat="1" ht="57.75" customHeight="1" outlineLevel="1" x14ac:dyDescent="0.25">
      <c r="A25" s="498">
        <v>11</v>
      </c>
      <c r="B25" s="499" t="s">
        <v>27</v>
      </c>
      <c r="C25" s="500" t="s">
        <v>24</v>
      </c>
      <c r="D25" s="555" t="s">
        <v>25</v>
      </c>
      <c r="E25" s="549" t="s">
        <v>448</v>
      </c>
      <c r="F25" s="368" t="s">
        <v>430</v>
      </c>
      <c r="G25" s="501" t="s">
        <v>28</v>
      </c>
      <c r="H25" s="555" t="s">
        <v>92</v>
      </c>
      <c r="I25" s="503" t="s">
        <v>216</v>
      </c>
      <c r="J25" s="504">
        <v>13988153</v>
      </c>
      <c r="K25" s="284">
        <v>8262785.6411363389</v>
      </c>
      <c r="L25" s="556">
        <v>3.1399999999999997E-2</v>
      </c>
      <c r="M25" s="284">
        <f>1430873.60020494+107795234.9/520.68+109739226/530.07+105995907.4/511.99+105780752.2/510.95</f>
        <v>2258984.1004025689</v>
      </c>
      <c r="N25" s="284">
        <f>1219413.93+55848657.5/520.68+55104222/530.07+51579050.2/511.99+49822785.6/510.95</f>
        <v>1628883.8301780142</v>
      </c>
      <c r="O25" s="284">
        <f t="shared" si="0"/>
        <v>6003801.5407337695</v>
      </c>
      <c r="P25" s="500" t="s">
        <v>31</v>
      </c>
      <c r="Q25" s="369" t="s">
        <v>428</v>
      </c>
      <c r="R25" s="10"/>
    </row>
    <row r="26" spans="1:18" s="2" customFormat="1" ht="59.25" customHeight="1" outlineLevel="1" x14ac:dyDescent="0.25">
      <c r="A26" s="506"/>
      <c r="B26" s="499" t="s">
        <v>27</v>
      </c>
      <c r="C26" s="560"/>
      <c r="D26" s="561"/>
      <c r="E26" s="549"/>
      <c r="F26" s="368" t="s">
        <v>431</v>
      </c>
      <c r="G26" s="508"/>
      <c r="H26" s="557"/>
      <c r="I26" s="368" t="s">
        <v>51</v>
      </c>
      <c r="J26" s="510"/>
      <c r="K26" s="284">
        <v>1194787815</v>
      </c>
      <c r="L26" s="556">
        <v>3.1399999999999997E-2</v>
      </c>
      <c r="M26" s="284">
        <f>209123295.3+29868621.8+29868621.8+29868621.8+29868621.8</f>
        <v>328597782.50000006</v>
      </c>
      <c r="N26" s="284">
        <f>177460224.6+15474933+14998180+14534453+14068120.9</f>
        <v>236535911.5</v>
      </c>
      <c r="O26" s="284">
        <f t="shared" si="0"/>
        <v>866190032.5</v>
      </c>
      <c r="P26" s="507"/>
      <c r="Q26" s="369" t="s">
        <v>428</v>
      </c>
      <c r="R26" s="10"/>
    </row>
    <row r="27" spans="1:18" s="2" customFormat="1" ht="51.75" customHeight="1" outlineLevel="1" x14ac:dyDescent="0.25">
      <c r="A27" s="498">
        <v>12</v>
      </c>
      <c r="B27" s="499" t="s">
        <v>16</v>
      </c>
      <c r="C27" s="560"/>
      <c r="D27" s="561"/>
      <c r="E27" s="549"/>
      <c r="F27" s="368" t="s">
        <v>430</v>
      </c>
      <c r="G27" s="501" t="s">
        <v>29</v>
      </c>
      <c r="H27" s="555" t="s">
        <v>92</v>
      </c>
      <c r="I27" s="503" t="s">
        <v>216</v>
      </c>
      <c r="J27" s="504">
        <v>10098535</v>
      </c>
      <c r="K27" s="284">
        <v>10121386.37101347</v>
      </c>
      <c r="L27" s="556">
        <v>3.1399999999999997E-2</v>
      </c>
      <c r="M27" s="284">
        <f>1520990.1+136750579/520.29+138244588/530.59+133398381/511.99+133127359/510.95</f>
        <v>2565471.7050314122</v>
      </c>
      <c r="N27" s="284">
        <f>832426.027338+83294453/525+70252782/520.29+69454072/530.59+64924992/511.99+62703018/510.95</f>
        <v>1506535.6319686701</v>
      </c>
      <c r="O27" s="284">
        <f t="shared" si="0"/>
        <v>7555914.6659820583</v>
      </c>
      <c r="P27" s="500" t="s">
        <v>31</v>
      </c>
      <c r="Q27" s="369" t="s">
        <v>428</v>
      </c>
      <c r="R27" s="10"/>
    </row>
    <row r="28" spans="1:18" s="2" customFormat="1" ht="47.25" customHeight="1" outlineLevel="1" x14ac:dyDescent="0.25">
      <c r="A28" s="506"/>
      <c r="B28" s="499" t="s">
        <v>16</v>
      </c>
      <c r="C28" s="507"/>
      <c r="D28" s="557"/>
      <c r="E28" s="549"/>
      <c r="F28" s="368" t="s">
        <v>431</v>
      </c>
      <c r="G28" s="508"/>
      <c r="H28" s="557"/>
      <c r="I28" s="368" t="s">
        <v>51</v>
      </c>
      <c r="J28" s="510"/>
      <c r="K28" s="284">
        <v>794162455.89999998</v>
      </c>
      <c r="L28" s="556">
        <v>3.1399999999999997E-2</v>
      </c>
      <c r="M28" s="284">
        <f>123592049.7+20623615+20310837+20310837+20310838</f>
        <v>205148176.69999999</v>
      </c>
      <c r="N28" s="284">
        <f>78534680.8+10527955+10204165+9885285+9566405</f>
        <v>118718490.8</v>
      </c>
      <c r="O28" s="284">
        <f t="shared" si="0"/>
        <v>589014279.20000005</v>
      </c>
      <c r="P28" s="507"/>
      <c r="Q28" s="369" t="s">
        <v>428</v>
      </c>
      <c r="R28" s="10"/>
    </row>
    <row r="29" spans="1:18" s="2" customFormat="1" ht="48" customHeight="1" outlineLevel="1" x14ac:dyDescent="0.25">
      <c r="A29" s="225">
        <v>13</v>
      </c>
      <c r="B29" s="495" t="s">
        <v>27</v>
      </c>
      <c r="C29" s="500" t="s">
        <v>42</v>
      </c>
      <c r="D29" s="555" t="s">
        <v>43</v>
      </c>
      <c r="E29" s="554" t="s">
        <v>449</v>
      </c>
      <c r="F29" s="368" t="s">
        <v>430</v>
      </c>
      <c r="G29" s="552" t="s">
        <v>44</v>
      </c>
      <c r="H29" s="368" t="s">
        <v>86</v>
      </c>
      <c r="I29" s="503" t="s">
        <v>26</v>
      </c>
      <c r="J29" s="284">
        <v>19600000</v>
      </c>
      <c r="K29" s="284">
        <v>19419334.870000001</v>
      </c>
      <c r="L29" s="565">
        <v>5.0000000000000001E-3</v>
      </c>
      <c r="M29" s="284">
        <f>9716960.66852489+189584407.5/488.5+172026989.7/443.26+153375144/395.2+150045288.9/386.62+156421689.8/403.05+150324717.3/387.34+155746404.5/401.31</f>
        <v>12433625.668773536</v>
      </c>
      <c r="N29" s="284">
        <f>1129921.93024286+16077756.3/488.5+14096288.6/443.26+12233850.7/395.2+11546870.2/386.62+11574265.9/403.05+10860006.5/387.34+10861254.5/401.31</f>
        <v>1339276.7301463305</v>
      </c>
      <c r="O29" s="284">
        <f t="shared" si="0"/>
        <v>6985709.2012264654</v>
      </c>
      <c r="P29" s="291" t="s">
        <v>31</v>
      </c>
      <c r="Q29" s="369" t="s">
        <v>428</v>
      </c>
      <c r="R29" s="10"/>
    </row>
    <row r="30" spans="1:18" s="2" customFormat="1" ht="60" customHeight="1" outlineLevel="1" x14ac:dyDescent="0.25">
      <c r="A30" s="225">
        <v>14</v>
      </c>
      <c r="B30" s="495" t="s">
        <v>16</v>
      </c>
      <c r="C30" s="507"/>
      <c r="D30" s="557"/>
      <c r="E30" s="545"/>
      <c r="F30" s="368" t="s">
        <v>430</v>
      </c>
      <c r="G30" s="552" t="s">
        <v>45</v>
      </c>
      <c r="H30" s="368" t="s">
        <v>87</v>
      </c>
      <c r="I30" s="503" t="s">
        <v>26</v>
      </c>
      <c r="J30" s="284">
        <v>297276.53999999998</v>
      </c>
      <c r="K30" s="284">
        <v>297276.53999999998</v>
      </c>
      <c r="L30" s="290" t="s">
        <v>125</v>
      </c>
      <c r="M30" s="284">
        <f>257638.543537781+4361667/440.15+3916234/395.2+3837157/387.22+3994520/403.1</f>
        <v>297276.54625526333</v>
      </c>
      <c r="N30" s="284">
        <f>229541.53251276+1912186/489.99+1556591/440.15+1259898/395.2+1094284/387.22+991707/403.1</f>
        <v>245454.73643449965</v>
      </c>
      <c r="O30" s="284">
        <f t="shared" si="0"/>
        <v>-6.255263346247375E-3</v>
      </c>
      <c r="P30" s="291" t="s">
        <v>31</v>
      </c>
      <c r="Q30" s="369" t="s">
        <v>428</v>
      </c>
      <c r="R30" s="10"/>
    </row>
    <row r="31" spans="1:18" s="2" customFormat="1" ht="51" customHeight="1" outlineLevel="1" x14ac:dyDescent="0.25">
      <c r="A31" s="225">
        <v>15</v>
      </c>
      <c r="B31" s="495" t="s">
        <v>16</v>
      </c>
      <c r="C31" s="566" t="s">
        <v>17</v>
      </c>
      <c r="D31" s="555" t="s">
        <v>65</v>
      </c>
      <c r="E31" s="554" t="s">
        <v>453</v>
      </c>
      <c r="F31" s="368" t="s">
        <v>430</v>
      </c>
      <c r="G31" s="552" t="s">
        <v>21</v>
      </c>
      <c r="H31" s="368" t="s">
        <v>93</v>
      </c>
      <c r="I31" s="368" t="s">
        <v>18</v>
      </c>
      <c r="J31" s="284">
        <v>1571940173.3299999</v>
      </c>
      <c r="K31" s="284">
        <v>1598519063</v>
      </c>
      <c r="L31" s="565">
        <v>1.7999999999999999E-2</v>
      </c>
      <c r="M31" s="284">
        <f>1030178646.5+123394332/3.026+109815247/2.693+110426917/2.708+107613234/2.639+106349114/2.608</f>
        <v>1234068819.1163616</v>
      </c>
      <c r="N31" s="284">
        <f>226837831.925937+13873556/3.026+11211247/2.693+10505503/2.708+9205948/2.639+8278004/2.608</f>
        <v>246127659.34121844</v>
      </c>
      <c r="O31" s="284">
        <f t="shared" si="0"/>
        <v>364450243.88363838</v>
      </c>
      <c r="P31" s="291" t="s">
        <v>31</v>
      </c>
      <c r="Q31" s="369" t="s">
        <v>428</v>
      </c>
      <c r="R31" s="10"/>
    </row>
    <row r="32" spans="1:18" s="2" customFormat="1" ht="41.25" customHeight="1" outlineLevel="1" x14ac:dyDescent="0.25">
      <c r="A32" s="225">
        <v>16</v>
      </c>
      <c r="B32" s="282" t="s">
        <v>2</v>
      </c>
      <c r="C32" s="567"/>
      <c r="D32" s="557"/>
      <c r="E32" s="545"/>
      <c r="F32" s="368" t="s">
        <v>430</v>
      </c>
      <c r="G32" s="552" t="s">
        <v>23</v>
      </c>
      <c r="H32" s="368" t="s">
        <v>93</v>
      </c>
      <c r="I32" s="368" t="s">
        <v>18</v>
      </c>
      <c r="J32" s="284">
        <v>3796371795.6700001</v>
      </c>
      <c r="K32" s="284">
        <v>3861444249</v>
      </c>
      <c r="L32" s="565">
        <v>1.7999999999999999E-2</v>
      </c>
      <c r="M32" s="284">
        <f>2513837447.56+291897058.6/3.026+259774877.3/2.693+261800600/2.714+254469412/2.638+251575521.7/2.608</f>
        <v>2996152481.4054999</v>
      </c>
      <c r="N32" s="284">
        <f>553224853.256799+32762341/3.026+26475306.9/2.693+24863667/2.714+21767387/2.638+19619296.3/2.608</f>
        <v>598818429.94730222</v>
      </c>
      <c r="O32" s="284">
        <f t="shared" si="0"/>
        <v>865291767.59450006</v>
      </c>
      <c r="P32" s="291" t="s">
        <v>31</v>
      </c>
      <c r="Q32" s="369" t="s">
        <v>428</v>
      </c>
      <c r="R32" s="10"/>
    </row>
    <row r="33" spans="1:19" s="2" customFormat="1" ht="69" customHeight="1" outlineLevel="1" x14ac:dyDescent="0.25">
      <c r="A33" s="498">
        <v>17</v>
      </c>
      <c r="B33" s="566" t="s">
        <v>88</v>
      </c>
      <c r="C33" s="500" t="s">
        <v>456</v>
      </c>
      <c r="D33" s="555" t="s">
        <v>43</v>
      </c>
      <c r="E33" s="554" t="s">
        <v>455</v>
      </c>
      <c r="F33" s="368" t="s">
        <v>430</v>
      </c>
      <c r="G33" s="501" t="s">
        <v>70</v>
      </c>
      <c r="H33" s="555" t="s">
        <v>89</v>
      </c>
      <c r="I33" s="503" t="s">
        <v>26</v>
      </c>
      <c r="J33" s="284">
        <v>4846628.13</v>
      </c>
      <c r="K33" s="284">
        <v>4737831.22</v>
      </c>
      <c r="L33" s="290">
        <v>7.4999999999999997E-3</v>
      </c>
      <c r="M33" s="284">
        <f>616176.07+18729201/386.44+19508050/402.51+18791723/387.73+18767489/387.23</f>
        <v>810040.07239122433</v>
      </c>
      <c r="N33" s="284">
        <f>353441.51+5923430/386.44+6198654/402.51+5835491.6/387.73+5820648/387.23</f>
        <v>414251.61169354402</v>
      </c>
      <c r="O33" s="284">
        <f t="shared" si="0"/>
        <v>3927791.1476087756</v>
      </c>
      <c r="P33" s="291" t="s">
        <v>111</v>
      </c>
      <c r="Q33" s="369" t="s">
        <v>428</v>
      </c>
      <c r="R33" s="10"/>
    </row>
    <row r="34" spans="1:19" s="2" customFormat="1" ht="69" customHeight="1" outlineLevel="1" x14ac:dyDescent="0.25">
      <c r="A34" s="506"/>
      <c r="B34" s="567"/>
      <c r="C34" s="507"/>
      <c r="D34" s="557"/>
      <c r="E34" s="545"/>
      <c r="F34" s="368" t="s">
        <v>431</v>
      </c>
      <c r="G34" s="508"/>
      <c r="H34" s="557"/>
      <c r="I34" s="368" t="s">
        <v>51</v>
      </c>
      <c r="J34" s="284">
        <v>1740568345.9000001</v>
      </c>
      <c r="K34" s="284">
        <v>1740568345.9000001</v>
      </c>
      <c r="L34" s="290">
        <v>7.4999999999999997E-3</v>
      </c>
      <c r="M34" s="284">
        <f>247100359+17402579+17402579+17402579+17402579</f>
        <v>316710675</v>
      </c>
      <c r="N34" s="284">
        <f>128165336.87+5554115.8+5580740.4+5454641.8+5448433.2</f>
        <v>150203268.06999999</v>
      </c>
      <c r="O34" s="284">
        <f t="shared" si="0"/>
        <v>1423857670.9000001</v>
      </c>
      <c r="P34" s="291" t="s">
        <v>111</v>
      </c>
      <c r="Q34" s="369" t="s">
        <v>428</v>
      </c>
      <c r="R34" s="10"/>
    </row>
    <row r="35" spans="1:19" ht="87" customHeight="1" outlineLevel="1" x14ac:dyDescent="0.25">
      <c r="A35" s="225">
        <v>18</v>
      </c>
      <c r="B35" s="495" t="s">
        <v>1</v>
      </c>
      <c r="C35" s="282" t="s">
        <v>59</v>
      </c>
      <c r="D35" s="368" t="s">
        <v>61</v>
      </c>
      <c r="E35" s="552" t="s">
        <v>451</v>
      </c>
      <c r="F35" s="368" t="s">
        <v>430</v>
      </c>
      <c r="G35" s="552" t="s">
        <v>58</v>
      </c>
      <c r="H35" s="552" t="s">
        <v>85</v>
      </c>
      <c r="I35" s="503" t="s">
        <v>30</v>
      </c>
      <c r="J35" s="568">
        <v>17895215.550000001</v>
      </c>
      <c r="K35" s="284">
        <v>17895215.550000001</v>
      </c>
      <c r="L35" s="290">
        <v>7.4999999999999997E-3</v>
      </c>
      <c r="M35" s="284">
        <v>9004359.9040168226</v>
      </c>
      <c r="N35" s="284">
        <f>2568161.28+12471869/415.04+3320320/414.34+16171473.8/438.74+15002335.6/420.29+14025433/406.4</f>
        <v>2713290.0956009617</v>
      </c>
      <c r="O35" s="284">
        <f t="shared" si="0"/>
        <v>8890855.6459831782</v>
      </c>
      <c r="P35" s="291" t="s">
        <v>31</v>
      </c>
      <c r="Q35" s="369" t="s">
        <v>428</v>
      </c>
      <c r="R35" s="10"/>
      <c r="S35" s="2"/>
    </row>
    <row r="36" spans="1:19" ht="55.5" customHeight="1" outlineLevel="1" x14ac:dyDescent="0.25">
      <c r="A36" s="498">
        <v>19</v>
      </c>
      <c r="B36" s="499" t="s">
        <v>210</v>
      </c>
      <c r="C36" s="500" t="s">
        <v>137</v>
      </c>
      <c r="D36" s="500" t="s">
        <v>147</v>
      </c>
      <c r="E36" s="500" t="s">
        <v>450</v>
      </c>
      <c r="F36" s="282" t="s">
        <v>430</v>
      </c>
      <c r="G36" s="500" t="s">
        <v>211</v>
      </c>
      <c r="H36" s="282" t="s">
        <v>235</v>
      </c>
      <c r="I36" s="503" t="s">
        <v>30</v>
      </c>
      <c r="J36" s="569">
        <v>22000000</v>
      </c>
      <c r="K36" s="284">
        <v>21247150.510000002</v>
      </c>
      <c r="L36" s="570" t="s">
        <v>138</v>
      </c>
      <c r="M36" s="284">
        <f>1047000+1047000+1047000+1047000+1047000+1047000+1047000+1047000+1048000</f>
        <v>9424000</v>
      </c>
      <c r="N36" s="284">
        <f>2375876.3+237670.2+221556.87</f>
        <v>2835103.37</v>
      </c>
      <c r="O36" s="284">
        <f>J36-M36</f>
        <v>12576000</v>
      </c>
      <c r="P36" s="500" t="s">
        <v>403</v>
      </c>
      <c r="Q36" s="369" t="s">
        <v>428</v>
      </c>
      <c r="R36" s="10"/>
      <c r="S36" s="2"/>
    </row>
    <row r="37" spans="1:19" ht="68.25" customHeight="1" outlineLevel="1" x14ac:dyDescent="0.25">
      <c r="A37" s="542"/>
      <c r="B37" s="499" t="s">
        <v>210</v>
      </c>
      <c r="C37" s="560"/>
      <c r="D37" s="560"/>
      <c r="E37" s="560"/>
      <c r="F37" s="282" t="s">
        <v>430</v>
      </c>
      <c r="G37" s="560"/>
      <c r="H37" s="282" t="s">
        <v>237</v>
      </c>
      <c r="I37" s="503" t="s">
        <v>30</v>
      </c>
      <c r="J37" s="569">
        <v>14500000</v>
      </c>
      <c r="K37" s="284">
        <v>14491281.059999999</v>
      </c>
      <c r="L37" s="570" t="s">
        <v>97</v>
      </c>
      <c r="M37" s="284">
        <f>241000+241000+241000+241000+241000+241000+241000+241000+241000</f>
        <v>2169000</v>
      </c>
      <c r="N37" s="284">
        <f>628643.7+48048.75+47190.19</f>
        <v>723882.6399999999</v>
      </c>
      <c r="O37" s="284">
        <f>J37-M37</f>
        <v>12331000</v>
      </c>
      <c r="P37" s="560"/>
      <c r="Q37" s="369" t="s">
        <v>428</v>
      </c>
      <c r="R37" s="10"/>
      <c r="S37" s="2"/>
    </row>
    <row r="38" spans="1:19" ht="62.25" customHeight="1" outlineLevel="1" x14ac:dyDescent="0.25">
      <c r="A38" s="506"/>
      <c r="B38" s="499" t="s">
        <v>210</v>
      </c>
      <c r="C38" s="507"/>
      <c r="D38" s="507"/>
      <c r="E38" s="507"/>
      <c r="F38" s="282" t="s">
        <v>430</v>
      </c>
      <c r="G38" s="507"/>
      <c r="H38" s="282" t="s">
        <v>236</v>
      </c>
      <c r="I38" s="503" t="s">
        <v>30</v>
      </c>
      <c r="J38" s="569">
        <v>14500000</v>
      </c>
      <c r="K38" s="284">
        <v>14500000.000000002</v>
      </c>
      <c r="L38" s="570" t="s">
        <v>139</v>
      </c>
      <c r="M38" s="284">
        <f>2519999.6+630000+630000+630000+630000+630000</f>
        <v>5669999.5999999996</v>
      </c>
      <c r="N38" s="284">
        <f>2336020+207340.05+195524.74</f>
        <v>2738884.79</v>
      </c>
      <c r="O38" s="284">
        <f>J38-M38</f>
        <v>8830000.4000000004</v>
      </c>
      <c r="P38" s="507"/>
      <c r="Q38" s="369" t="s">
        <v>428</v>
      </c>
      <c r="R38" s="10"/>
      <c r="S38" s="2"/>
    </row>
    <row r="39" spans="1:19" ht="94.5" customHeight="1" outlineLevel="1" x14ac:dyDescent="0.25">
      <c r="A39" s="225">
        <v>20</v>
      </c>
      <c r="B39" s="282" t="s">
        <v>71</v>
      </c>
      <c r="C39" s="495" t="s">
        <v>72</v>
      </c>
      <c r="D39" s="368" t="s">
        <v>65</v>
      </c>
      <c r="E39" s="368" t="s">
        <v>452</v>
      </c>
      <c r="F39" s="368" t="s">
        <v>430</v>
      </c>
      <c r="G39" s="552" t="s">
        <v>73</v>
      </c>
      <c r="H39" s="368" t="s">
        <v>94</v>
      </c>
      <c r="I39" s="368" t="s">
        <v>18</v>
      </c>
      <c r="J39" s="571">
        <v>26409000000</v>
      </c>
      <c r="K39" s="284">
        <v>26399286331</v>
      </c>
      <c r="L39" s="290">
        <v>7.4999999999999997E-3</v>
      </c>
      <c r="M39" s="284">
        <f>7357230331.16835+1131704010/2.615+1153775484/2.666+(500000000+500000000+175414184)/2.716</f>
        <v>8655552331.1683502</v>
      </c>
      <c r="N39" s="284">
        <f>2607354309.06995+188428717.2/2.615+185536580.8/2.666+186649331.7/2.716</f>
        <v>2817726935.8973589</v>
      </c>
      <c r="O39" s="286">
        <f t="shared" ref="O39:O50" si="1">K39-M39</f>
        <v>17743733999.83165</v>
      </c>
      <c r="P39" s="291" t="s">
        <v>126</v>
      </c>
      <c r="Q39" s="369" t="s">
        <v>428</v>
      </c>
      <c r="R39" s="10"/>
      <c r="S39" s="2"/>
    </row>
    <row r="40" spans="1:19" ht="86.25" customHeight="1" outlineLevel="1" x14ac:dyDescent="0.25">
      <c r="A40" s="225">
        <v>21</v>
      </c>
      <c r="B40" s="495" t="s">
        <v>27</v>
      </c>
      <c r="C40" s="282" t="s">
        <v>130</v>
      </c>
      <c r="D40" s="282" t="s">
        <v>106</v>
      </c>
      <c r="E40" s="282" t="s">
        <v>454</v>
      </c>
      <c r="F40" s="282" t="s">
        <v>430</v>
      </c>
      <c r="G40" s="552" t="s">
        <v>32</v>
      </c>
      <c r="H40" s="368" t="s">
        <v>95</v>
      </c>
      <c r="I40" s="503" t="s">
        <v>26</v>
      </c>
      <c r="J40" s="284">
        <v>8988290</v>
      </c>
      <c r="K40" s="284">
        <v>8988290</v>
      </c>
      <c r="L40" s="565">
        <v>5.0000000000000001E-3</v>
      </c>
      <c r="M40" s="284">
        <f>4199999.97+600000+600000+289644000/482.74+290820000/484.7+286458000/477.43+600000+600000+231939215.4/394.26</f>
        <v>8988289.9699999988</v>
      </c>
      <c r="N40" s="284">
        <f>838542.942447016+522591.6/394.26</f>
        <v>839868.44237092405</v>
      </c>
      <c r="O40" s="286">
        <f t="shared" si="1"/>
        <v>3.0000001192092896E-2</v>
      </c>
      <c r="P40" s="291" t="s">
        <v>111</v>
      </c>
      <c r="Q40" s="369" t="s">
        <v>428</v>
      </c>
      <c r="R40" s="10"/>
      <c r="S40" s="2"/>
    </row>
    <row r="41" spans="1:19" ht="86.25" customHeight="1" outlineLevel="1" x14ac:dyDescent="0.25">
      <c r="A41" s="225"/>
      <c r="B41" s="566" t="s">
        <v>27</v>
      </c>
      <c r="C41" s="282"/>
      <c r="D41" s="282"/>
      <c r="E41" s="572" t="s">
        <v>470</v>
      </c>
      <c r="F41" s="500" t="s">
        <v>405</v>
      </c>
      <c r="G41" s="552"/>
      <c r="H41" s="368" t="s">
        <v>471</v>
      </c>
      <c r="I41" s="283" t="s">
        <v>51</v>
      </c>
      <c r="J41" s="504">
        <v>1035000000</v>
      </c>
      <c r="K41" s="510">
        <f>1035000000-80500000</f>
        <v>954500000</v>
      </c>
      <c r="L41" s="573">
        <v>9.8613000000000006E-2</v>
      </c>
      <c r="M41" s="284"/>
      <c r="N41" s="284"/>
      <c r="O41" s="286">
        <f t="shared" si="1"/>
        <v>954500000</v>
      </c>
      <c r="P41" s="291" t="s">
        <v>111</v>
      </c>
      <c r="Q41" s="369" t="s">
        <v>428</v>
      </c>
      <c r="R41" s="10"/>
      <c r="S41" s="2"/>
    </row>
    <row r="42" spans="1:19" ht="86.25" customHeight="1" outlineLevel="1" x14ac:dyDescent="0.25">
      <c r="A42" s="225"/>
      <c r="B42" s="567"/>
      <c r="C42" s="282"/>
      <c r="D42" s="282"/>
      <c r="E42" s="574"/>
      <c r="F42" s="507"/>
      <c r="G42" s="552"/>
      <c r="H42" s="368"/>
      <c r="I42" s="283" t="s">
        <v>51</v>
      </c>
      <c r="J42" s="510">
        <v>1035000000</v>
      </c>
      <c r="K42" s="510"/>
      <c r="L42" s="565"/>
      <c r="M42" s="284"/>
      <c r="N42" s="284"/>
      <c r="O42" s="286">
        <f t="shared" si="1"/>
        <v>0</v>
      </c>
      <c r="P42" s="291" t="s">
        <v>111</v>
      </c>
      <c r="Q42" s="369" t="s">
        <v>428</v>
      </c>
      <c r="R42" s="10"/>
      <c r="S42" s="2"/>
    </row>
    <row r="43" spans="1:19" ht="73.5" customHeight="1" outlineLevel="1" x14ac:dyDescent="0.25">
      <c r="A43" s="225">
        <v>22</v>
      </c>
      <c r="B43" s="495" t="s">
        <v>0</v>
      </c>
      <c r="C43" s="282" t="s">
        <v>130</v>
      </c>
      <c r="D43" s="282" t="s">
        <v>9</v>
      </c>
      <c r="E43" s="282" t="s">
        <v>457</v>
      </c>
      <c r="F43" s="282" t="s">
        <v>430</v>
      </c>
      <c r="G43" s="496" t="s">
        <v>12</v>
      </c>
      <c r="H43" s="284" t="s">
        <v>96</v>
      </c>
      <c r="I43" s="497" t="s">
        <v>51</v>
      </c>
      <c r="J43" s="284">
        <v>1757100000</v>
      </c>
      <c r="K43" s="284">
        <v>1757100000</v>
      </c>
      <c r="L43" s="290">
        <v>7.4999999999999997E-3</v>
      </c>
      <c r="M43" s="284">
        <f>439275000+62753571.5+62753571.5+62753571.3+62753571.4+62753571.4+62753571.4+62753571.5+62753571.5+62753571.5+62753571.3</f>
        <v>1066810714.2999998</v>
      </c>
      <c r="N43" s="284">
        <f>303383430.5+3313904.4+3032802.7+3076644.3+2814884.5+2839384.2</f>
        <v>318461050.59999996</v>
      </c>
      <c r="O43" s="286">
        <f t="shared" si="1"/>
        <v>690289285.70000017</v>
      </c>
      <c r="P43" s="291" t="s">
        <v>111</v>
      </c>
      <c r="Q43" s="369" t="s">
        <v>428</v>
      </c>
      <c r="R43" s="10"/>
      <c r="S43" s="2"/>
    </row>
    <row r="44" spans="1:19" ht="82.5" customHeight="1" outlineLevel="1" x14ac:dyDescent="0.25">
      <c r="A44" s="575">
        <v>23</v>
      </c>
      <c r="B44" s="495" t="s">
        <v>0</v>
      </c>
      <c r="C44" s="282" t="s">
        <v>243</v>
      </c>
      <c r="D44" s="282" t="s">
        <v>414</v>
      </c>
      <c r="E44" s="496" t="s">
        <v>441</v>
      </c>
      <c r="F44" s="282" t="s">
        <v>405</v>
      </c>
      <c r="G44" s="496"/>
      <c r="H44" s="284" t="s">
        <v>336</v>
      </c>
      <c r="I44" s="497" t="s">
        <v>51</v>
      </c>
      <c r="J44" s="284">
        <v>18700000000</v>
      </c>
      <c r="K44" s="284">
        <v>18700000000</v>
      </c>
      <c r="L44" s="556">
        <v>7.4999999999999997E-2</v>
      </c>
      <c r="M44" s="284">
        <f>890476190.5+890476190.5+890476190.5+890476190.5+890476190.5+890476190.5</f>
        <v>5342857143</v>
      </c>
      <c r="N44" s="284">
        <f>1333335616.4+703171232.9+699328767.1+670052837.5+632909002+602718199.6+569233855.2+535749511</f>
        <v>5746499021.6999998</v>
      </c>
      <c r="O44" s="286">
        <f>K44-M44</f>
        <v>13357142857</v>
      </c>
      <c r="P44" s="291" t="s">
        <v>111</v>
      </c>
      <c r="Q44" s="369" t="s">
        <v>428</v>
      </c>
      <c r="R44" s="10"/>
      <c r="S44" s="2"/>
    </row>
    <row r="45" spans="1:19" ht="63.75" customHeight="1" outlineLevel="1" x14ac:dyDescent="0.25">
      <c r="A45" s="575">
        <v>24</v>
      </c>
      <c r="B45" s="495" t="s">
        <v>0</v>
      </c>
      <c r="C45" s="553" t="s">
        <v>354</v>
      </c>
      <c r="D45" s="282" t="s">
        <v>414</v>
      </c>
      <c r="E45" s="496" t="s">
        <v>440</v>
      </c>
      <c r="F45" s="282" t="s">
        <v>405</v>
      </c>
      <c r="G45" s="496"/>
      <c r="H45" s="284" t="s">
        <v>355</v>
      </c>
      <c r="I45" s="497" t="s">
        <v>51</v>
      </c>
      <c r="J45" s="284">
        <v>25000000000</v>
      </c>
      <c r="K45" s="284">
        <v>25000000000</v>
      </c>
      <c r="L45" s="556">
        <v>0.09</v>
      </c>
      <c r="M45" s="284">
        <f>1190476190.4+1190476190.5+1190476190.5+1190476190.5</f>
        <v>4761904761.8999996</v>
      </c>
      <c r="N45" s="284">
        <f>1171232876.7+1121917808.3+1128082191.8+1121917808.2+1074363992.2+1020645792.6+966927593</f>
        <v>7605088062.8000002</v>
      </c>
      <c r="O45" s="286">
        <f t="shared" si="1"/>
        <v>20238095238.099998</v>
      </c>
      <c r="P45" s="291" t="s">
        <v>111</v>
      </c>
      <c r="Q45" s="369" t="s">
        <v>428</v>
      </c>
      <c r="R45" s="10"/>
      <c r="S45" s="2"/>
    </row>
    <row r="46" spans="1:19" ht="82.5" customHeight="1" outlineLevel="1" x14ac:dyDescent="0.25">
      <c r="A46" s="575"/>
      <c r="B46" s="495" t="s">
        <v>0</v>
      </c>
      <c r="C46" s="282" t="s">
        <v>473</v>
      </c>
      <c r="D46" s="282" t="s">
        <v>414</v>
      </c>
      <c r="E46" s="496" t="s">
        <v>472</v>
      </c>
      <c r="F46" s="282" t="s">
        <v>405</v>
      </c>
      <c r="G46" s="496"/>
      <c r="H46" s="284" t="s">
        <v>469</v>
      </c>
      <c r="I46" s="497" t="s">
        <v>51</v>
      </c>
      <c r="J46" s="284">
        <v>5965000000</v>
      </c>
      <c r="K46" s="284">
        <v>5965000000</v>
      </c>
      <c r="L46" s="576">
        <v>9.8608000000000001E-2</v>
      </c>
      <c r="M46" s="284"/>
      <c r="N46" s="284">
        <v>24172468</v>
      </c>
      <c r="O46" s="286">
        <f>K46-M46</f>
        <v>5965000000</v>
      </c>
      <c r="P46" s="291" t="s">
        <v>111</v>
      </c>
      <c r="Q46" s="369" t="s">
        <v>428</v>
      </c>
      <c r="R46" s="10"/>
      <c r="S46" s="2"/>
    </row>
    <row r="47" spans="1:19" ht="78.75" customHeight="1" outlineLevel="1" x14ac:dyDescent="0.25">
      <c r="A47" s="498">
        <v>25</v>
      </c>
      <c r="B47" s="499" t="s">
        <v>0</v>
      </c>
      <c r="C47" s="500" t="s">
        <v>140</v>
      </c>
      <c r="D47" s="368" t="s">
        <v>416</v>
      </c>
      <c r="E47" s="500" t="s">
        <v>458</v>
      </c>
      <c r="F47" s="368" t="s">
        <v>430</v>
      </c>
      <c r="G47" s="501" t="s">
        <v>141</v>
      </c>
      <c r="H47" s="502" t="s">
        <v>136</v>
      </c>
      <c r="I47" s="503" t="s">
        <v>26</v>
      </c>
      <c r="J47" s="504">
        <v>270000000</v>
      </c>
      <c r="K47" s="284">
        <v>170663629.05000004</v>
      </c>
      <c r="L47" s="505">
        <v>0.03</v>
      </c>
      <c r="M47" s="284">
        <f>51199088.7002228+3370009369.8/394.93+3295429324.9/386.19+3461143748.2/405.61+3310959715/388.01+(1000000000+1424393078.3+962000000)/396.85</f>
        <v>93864996.000313431</v>
      </c>
      <c r="N47" s="284">
        <f>20309911.275649+723428666.7/394.93+646453366.1/386.19+636850451.3/405.61+552378447/388.01+519246953.2/396.85</f>
        <v>28117772.275609713</v>
      </c>
      <c r="O47" s="286">
        <f t="shared" si="1"/>
        <v>76798633.049686611</v>
      </c>
      <c r="P47" s="500" t="s">
        <v>99</v>
      </c>
      <c r="Q47" s="282" t="s">
        <v>428</v>
      </c>
      <c r="R47" s="10"/>
      <c r="S47" s="2"/>
    </row>
    <row r="48" spans="1:19" ht="71.25" customHeight="1" outlineLevel="1" x14ac:dyDescent="0.25">
      <c r="A48" s="506"/>
      <c r="B48" s="499" t="s">
        <v>0</v>
      </c>
      <c r="C48" s="507"/>
      <c r="D48" s="282" t="s">
        <v>414</v>
      </c>
      <c r="E48" s="507"/>
      <c r="F48" s="282" t="s">
        <v>431</v>
      </c>
      <c r="G48" s="508"/>
      <c r="H48" s="509"/>
      <c r="I48" s="497" t="s">
        <v>51</v>
      </c>
      <c r="J48" s="510">
        <v>1265847400</v>
      </c>
      <c r="K48" s="284">
        <f>9509488626+108542329</f>
        <v>9618030955</v>
      </c>
      <c r="L48" s="505">
        <v>0.03</v>
      </c>
      <c r="M48" s="284">
        <f>2858334735.47632+482835444.3+482835444.2+482835444.3+482835444.2+482835444.3</f>
        <v>5272511956.7763195</v>
      </c>
      <c r="N48" s="284">
        <f>1045375895.11175+103648675.3+94716219.7+88841721.7+80553046.6+74034768.1</f>
        <v>1487170326.51175</v>
      </c>
      <c r="O48" s="286">
        <f t="shared" si="1"/>
        <v>4345518998.2236805</v>
      </c>
      <c r="P48" s="507"/>
      <c r="Q48" s="282" t="s">
        <v>428</v>
      </c>
      <c r="R48" s="10"/>
      <c r="S48" s="2"/>
    </row>
    <row r="49" spans="1:19" ht="79.5" customHeight="1" outlineLevel="1" x14ac:dyDescent="0.25">
      <c r="A49" s="225">
        <v>26</v>
      </c>
      <c r="B49" s="495" t="s">
        <v>0</v>
      </c>
      <c r="C49" s="282" t="s">
        <v>180</v>
      </c>
      <c r="D49" s="555" t="s">
        <v>48</v>
      </c>
      <c r="E49" s="500" t="s">
        <v>459</v>
      </c>
      <c r="F49" s="513" t="s">
        <v>430</v>
      </c>
      <c r="G49" s="577" t="s">
        <v>184</v>
      </c>
      <c r="H49" s="287" t="s">
        <v>182</v>
      </c>
      <c r="I49" s="546" t="s">
        <v>26</v>
      </c>
      <c r="J49" s="504">
        <v>8907500</v>
      </c>
      <c r="K49" s="284">
        <v>8907384.7100000009</v>
      </c>
      <c r="L49" s="556" t="s">
        <v>400</v>
      </c>
      <c r="M49" s="284"/>
      <c r="N49" s="284">
        <f>1241236.45+96159781.6/386.38+118034920.8/403.19+119269571.9/387.69+118214384.3/387.64</f>
        <v>2395463.4501183401</v>
      </c>
      <c r="O49" s="578">
        <f t="shared" si="1"/>
        <v>8907384.7100000009</v>
      </c>
      <c r="P49" s="288" t="s">
        <v>185</v>
      </c>
      <c r="Q49" s="370" t="s">
        <v>428</v>
      </c>
      <c r="R49" s="10"/>
      <c r="S49" s="2"/>
    </row>
    <row r="50" spans="1:19" ht="116.25" customHeight="1" outlineLevel="1" thickBot="1" x14ac:dyDescent="0.3">
      <c r="A50" s="225">
        <v>27</v>
      </c>
      <c r="B50" s="367" t="s">
        <v>71</v>
      </c>
      <c r="C50" s="579" t="s">
        <v>180</v>
      </c>
      <c r="D50" s="580"/>
      <c r="E50" s="507"/>
      <c r="F50" s="513" t="s">
        <v>430</v>
      </c>
      <c r="G50" s="577" t="s">
        <v>181</v>
      </c>
      <c r="H50" s="581" t="s">
        <v>182</v>
      </c>
      <c r="I50" s="582" t="s">
        <v>26</v>
      </c>
      <c r="J50" s="583">
        <v>21092500</v>
      </c>
      <c r="K50" s="284">
        <v>21092210.790000003</v>
      </c>
      <c r="L50" s="584" t="s">
        <v>400</v>
      </c>
      <c r="M50" s="284"/>
      <c r="N50" s="284">
        <f>3081286.01+227668040/386.38+279535083/403.19+282423985/387.69+(79661738.3+200263572)/387.64</f>
        <v>5814433.9830596093</v>
      </c>
      <c r="O50" s="585">
        <f t="shared" si="1"/>
        <v>21092210.790000003</v>
      </c>
      <c r="P50" s="288" t="s">
        <v>183</v>
      </c>
      <c r="Q50" s="586" t="s">
        <v>428</v>
      </c>
      <c r="R50" s="10"/>
      <c r="S50" s="2"/>
    </row>
    <row r="51" spans="1:19" s="594" customFormat="1" ht="15" customHeight="1" x14ac:dyDescent="0.25">
      <c r="A51" s="587" t="s">
        <v>158</v>
      </c>
      <c r="B51" s="588"/>
      <c r="C51" s="589"/>
      <c r="D51" s="590"/>
      <c r="E51" s="590"/>
      <c r="F51" s="590"/>
      <c r="G51" s="590"/>
      <c r="H51" s="590"/>
      <c r="I51" s="590" t="s">
        <v>30</v>
      </c>
      <c r="J51" s="591">
        <f>SUMIF($I$5:$I$50,I51,$J$5:$J$50)</f>
        <v>275755742.28000003</v>
      </c>
      <c r="K51" s="591">
        <f>SUMIF($I$5:$I$50,I51,$K$5:$K$50)</f>
        <v>98188339.270000011</v>
      </c>
      <c r="L51" s="591"/>
      <c r="M51" s="591">
        <f>SUMIF($I$5:$I$50,I51,$M$5:$M$50)</f>
        <v>42494307.343892485</v>
      </c>
      <c r="N51" s="591">
        <f>SUMIF($I$5:$I$50,I51,$N$5:$N$50)</f>
        <v>18094860.897632036</v>
      </c>
      <c r="O51" s="591">
        <f>SUMIF($I$5:$I$50,I51,$O$5:$O$50)</f>
        <v>56455600.356107518</v>
      </c>
      <c r="P51" s="592"/>
      <c r="Q51" s="593"/>
      <c r="R51" s="10"/>
      <c r="S51" s="2"/>
    </row>
    <row r="52" spans="1:19" s="594" customFormat="1" ht="15" customHeight="1" x14ac:dyDescent="0.25">
      <c r="A52" s="595"/>
      <c r="B52" s="596"/>
      <c r="C52" s="597"/>
      <c r="D52" s="598"/>
      <c r="E52" s="598"/>
      <c r="F52" s="598"/>
      <c r="G52" s="598"/>
      <c r="H52" s="598"/>
      <c r="I52" s="598" t="s">
        <v>51</v>
      </c>
      <c r="J52" s="599">
        <f>SUMIF($I$5:$I$50,I52,$J$5:$J$50)</f>
        <v>56498515745.900002</v>
      </c>
      <c r="K52" s="599">
        <f>SUMIF($I$5:$I$50,I52,$K$5:$K$50)</f>
        <v>74946765960.600006</v>
      </c>
      <c r="L52" s="599"/>
      <c r="M52" s="599">
        <f>SUMIF($I$5:$I$50,I52,$M$5:$M$50)</f>
        <v>18347991275.676319</v>
      </c>
      <c r="N52" s="599">
        <f>SUMIF($I$5:$I$50,I52,$N$5:$N$50)</f>
        <v>18003894781.62175</v>
      </c>
      <c r="O52" s="599">
        <f>SUMIF($I$5:$I$50,I52,$O$5:$O$50)</f>
        <v>56598774684.923676</v>
      </c>
      <c r="P52" s="600"/>
      <c r="Q52" s="601"/>
      <c r="R52" s="10"/>
      <c r="S52" s="2"/>
    </row>
    <row r="53" spans="1:19" s="594" customFormat="1" ht="15" customHeight="1" x14ac:dyDescent="0.25">
      <c r="A53" s="595"/>
      <c r="B53" s="596"/>
      <c r="C53" s="597"/>
      <c r="D53" s="598"/>
      <c r="E53" s="598"/>
      <c r="F53" s="598"/>
      <c r="G53" s="598"/>
      <c r="H53" s="598"/>
      <c r="I53" s="598" t="s">
        <v>26</v>
      </c>
      <c r="J53" s="599">
        <f>SUMIF($I$5:$I$50,I53,$J$5:$J$50)</f>
        <v>483654882.94</v>
      </c>
      <c r="K53" s="599">
        <f>SUMIF($I$5:$I$50,I53,$K$5:$K$50)</f>
        <v>327114670.51000005</v>
      </c>
      <c r="L53" s="599"/>
      <c r="M53" s="599">
        <f>SUMIF($I$5:$I$50,I53,$M$5:$M$50)</f>
        <v>126040177.15797873</v>
      </c>
      <c r="N53" s="599">
        <f>SUMIF($I$5:$I$50,I53,$N$5:$N$50)</f>
        <v>64492079.365020916</v>
      </c>
      <c r="O53" s="599">
        <f>SUMIF($I$5:$I$50,I53,$O$5:$O$50)</f>
        <v>201074493.35202134</v>
      </c>
      <c r="P53" s="600"/>
      <c r="Q53" s="601"/>
      <c r="R53" s="10"/>
      <c r="S53" s="2"/>
    </row>
    <row r="54" spans="1:19" s="594" customFormat="1" ht="15" customHeight="1" x14ac:dyDescent="0.25">
      <c r="A54" s="595"/>
      <c r="B54" s="596"/>
      <c r="C54" s="597"/>
      <c r="D54" s="602"/>
      <c r="E54" s="602"/>
      <c r="F54" s="602"/>
      <c r="G54" s="602"/>
      <c r="H54" s="602"/>
      <c r="I54" s="602" t="s">
        <v>18</v>
      </c>
      <c r="J54" s="603">
        <f>SUMIF($I$5:$I$50,I54,$J$5:$J$50)</f>
        <v>31777311969</v>
      </c>
      <c r="K54" s="603">
        <f>SUMIF($I$5:$I$50,I54,$K$5:$K$50)</f>
        <v>31859249643</v>
      </c>
      <c r="L54" s="603"/>
      <c r="M54" s="603">
        <f>SUMIF($I$5:$I$50,I54,$M$5:$M$50)</f>
        <v>12885773631.690212</v>
      </c>
      <c r="N54" s="603">
        <f>SUMIF($I$5:$I$50,I54,$N$5:$N$50)</f>
        <v>3662673025.1858797</v>
      </c>
      <c r="O54" s="603">
        <f>SUMIF($I$5:$I$50,I54,$O$5:$O$50)</f>
        <v>18973476011.309788</v>
      </c>
      <c r="P54" s="604"/>
      <c r="Q54" s="605"/>
      <c r="R54" s="10"/>
      <c r="S54" s="2"/>
    </row>
    <row r="55" spans="1:19" s="594" customFormat="1" ht="15" customHeight="1" thickBot="1" x14ac:dyDescent="0.3">
      <c r="A55" s="606"/>
      <c r="B55" s="607"/>
      <c r="C55" s="608"/>
      <c r="D55" s="609"/>
      <c r="E55" s="609"/>
      <c r="F55" s="609"/>
      <c r="G55" s="610"/>
      <c r="H55" s="611"/>
      <c r="I55" s="612" t="s">
        <v>216</v>
      </c>
      <c r="J55" s="613">
        <f>SUMIF($I$5:$I$50,I55,$J$5:$J$50)</f>
        <v>24086688</v>
      </c>
      <c r="K55" s="613">
        <f>SUMIF($I$5:$I$50,I55,$K$5:$K$50)</f>
        <v>18384172.012149811</v>
      </c>
      <c r="L55" s="613"/>
      <c r="M55" s="613">
        <f>SUMIF($I$5:$I$50,I55,$M$5:$M$50)</f>
        <v>4824455.8054339811</v>
      </c>
      <c r="N55" s="613">
        <f>SUMIF($I$5:$I$50,I55,$N$5:$N$50)</f>
        <v>3135419.4621466845</v>
      </c>
      <c r="O55" s="613">
        <f>SUMIF($I$5:$I$50,I55,$O$5:$O$50)</f>
        <v>13559716.206715828</v>
      </c>
      <c r="P55" s="614"/>
      <c r="Q55" s="615"/>
      <c r="R55" s="10"/>
      <c r="S55" s="2"/>
    </row>
    <row r="56" spans="1:19" ht="96.75" customHeight="1" outlineLevel="1" x14ac:dyDescent="0.25">
      <c r="A56" s="511">
        <v>28</v>
      </c>
      <c r="B56" s="512" t="s">
        <v>309</v>
      </c>
      <c r="C56" s="367" t="s">
        <v>171</v>
      </c>
      <c r="D56" s="513" t="s">
        <v>52</v>
      </c>
      <c r="E56" s="577" t="s">
        <v>460</v>
      </c>
      <c r="F56" s="513" t="s">
        <v>430</v>
      </c>
      <c r="G56" s="577" t="s">
        <v>53</v>
      </c>
      <c r="H56" s="577" t="s">
        <v>81</v>
      </c>
      <c r="I56" s="546" t="s">
        <v>30</v>
      </c>
      <c r="J56" s="287">
        <v>5000000</v>
      </c>
      <c r="K56" s="287">
        <v>5000000</v>
      </c>
      <c r="L56" s="520" t="s">
        <v>197</v>
      </c>
      <c r="M56" s="287">
        <f>4166666.69+208333.33+88124985.9/423+87866652.7/421.76+87864653.7/421.75</f>
        <v>5000000.1203959631</v>
      </c>
      <c r="N56" s="287">
        <v>583240</v>
      </c>
      <c r="O56" s="287">
        <f t="shared" ref="O56:O61" si="2">K56-M56</f>
        <v>-0.12039596308022738</v>
      </c>
      <c r="P56" s="517" t="s">
        <v>111</v>
      </c>
      <c r="Q56" s="518" t="s">
        <v>482</v>
      </c>
      <c r="S56" s="2"/>
    </row>
    <row r="57" spans="1:19" ht="86.25" customHeight="1" outlineLevel="1" x14ac:dyDescent="0.25">
      <c r="A57" s="575">
        <v>29</v>
      </c>
      <c r="B57" s="499" t="s">
        <v>306</v>
      </c>
      <c r="C57" s="553" t="s">
        <v>172</v>
      </c>
      <c r="D57" s="616" t="s">
        <v>52</v>
      </c>
      <c r="E57" s="577" t="s">
        <v>461</v>
      </c>
      <c r="F57" s="616" t="s">
        <v>430</v>
      </c>
      <c r="G57" s="617" t="s">
        <v>54</v>
      </c>
      <c r="H57" s="617" t="s">
        <v>82</v>
      </c>
      <c r="I57" s="503" t="s">
        <v>30</v>
      </c>
      <c r="J57" s="284">
        <v>5000000</v>
      </c>
      <c r="K57" s="284">
        <v>5000000</v>
      </c>
      <c r="L57" s="556" t="s">
        <v>197</v>
      </c>
      <c r="M57" s="284">
        <f>3125000+208333.33+88124985.9/423+87866652.7/421.76+87864569.3/421.75</f>
        <v>3958333.2302774102</v>
      </c>
      <c r="N57" s="284">
        <v>427171.1</v>
      </c>
      <c r="O57" s="284">
        <f t="shared" si="2"/>
        <v>1041666.7697225898</v>
      </c>
      <c r="P57" s="500" t="s">
        <v>111</v>
      </c>
      <c r="Q57" s="282" t="s">
        <v>428</v>
      </c>
      <c r="S57" s="2"/>
    </row>
    <row r="58" spans="1:19" ht="84.75" customHeight="1" outlineLevel="1" x14ac:dyDescent="0.25">
      <c r="A58" s="575">
        <v>30</v>
      </c>
      <c r="B58" s="499" t="s">
        <v>306</v>
      </c>
      <c r="C58" s="553"/>
      <c r="D58" s="616" t="s">
        <v>414</v>
      </c>
      <c r="E58" s="368"/>
      <c r="F58" s="616" t="s">
        <v>431</v>
      </c>
      <c r="G58" s="617"/>
      <c r="H58" s="617"/>
      <c r="I58" s="618" t="s">
        <v>51</v>
      </c>
      <c r="J58" s="284"/>
      <c r="K58" s="284">
        <v>66094595</v>
      </c>
      <c r="L58" s="556" t="s">
        <v>197</v>
      </c>
      <c r="M58" s="284">
        <f>6609471.44+6609433.4+6609473.7+6609459.5+6609459.5</f>
        <v>33047297.539999999</v>
      </c>
      <c r="N58" s="284">
        <v>4464832.2977352943</v>
      </c>
      <c r="O58" s="284">
        <f t="shared" si="2"/>
        <v>33047297.460000001</v>
      </c>
      <c r="P58" s="507"/>
      <c r="Q58" s="282" t="s">
        <v>428</v>
      </c>
      <c r="S58" s="2"/>
    </row>
    <row r="59" spans="1:19" ht="89.25" customHeight="1" outlineLevel="1" x14ac:dyDescent="0.25">
      <c r="A59" s="225">
        <v>31</v>
      </c>
      <c r="B59" s="495" t="s">
        <v>307</v>
      </c>
      <c r="C59" s="282" t="s">
        <v>173</v>
      </c>
      <c r="D59" s="368" t="s">
        <v>56</v>
      </c>
      <c r="E59" s="552" t="s">
        <v>462</v>
      </c>
      <c r="F59" s="368" t="s">
        <v>430</v>
      </c>
      <c r="G59" s="552" t="s">
        <v>55</v>
      </c>
      <c r="H59" s="552" t="s">
        <v>83</v>
      </c>
      <c r="I59" s="503" t="s">
        <v>30</v>
      </c>
      <c r="J59" s="284">
        <v>5000000</v>
      </c>
      <c r="K59" s="284">
        <v>5000000</v>
      </c>
      <c r="L59" s="290" t="s">
        <v>197</v>
      </c>
      <c r="M59" s="284">
        <f>3227272.74+97124988.4/427.35+96136352.1/423+95854533.9/421.76+95852303.4/421.75</f>
        <v>4136363.6400054074</v>
      </c>
      <c r="N59" s="284">
        <f>475298.336411511+13707853.3/421.76+10793552.6/421.75</f>
        <v>533392.18557454634</v>
      </c>
      <c r="O59" s="284">
        <f t="shared" si="2"/>
        <v>863636.35999459261</v>
      </c>
      <c r="P59" s="291" t="s">
        <v>111</v>
      </c>
      <c r="Q59" s="369" t="s">
        <v>428</v>
      </c>
      <c r="S59" s="2"/>
    </row>
    <row r="60" spans="1:19" ht="57" customHeight="1" outlineLevel="1" x14ac:dyDescent="0.25">
      <c r="A60" s="498">
        <v>32</v>
      </c>
      <c r="B60" s="499" t="s">
        <v>308</v>
      </c>
      <c r="C60" s="500" t="s">
        <v>174</v>
      </c>
      <c r="D60" s="616" t="s">
        <v>56</v>
      </c>
      <c r="E60" s="552" t="s">
        <v>463</v>
      </c>
      <c r="F60" s="616" t="s">
        <v>430</v>
      </c>
      <c r="G60" s="617" t="s">
        <v>57</v>
      </c>
      <c r="H60" s="617" t="s">
        <v>84</v>
      </c>
      <c r="I60" s="618" t="s">
        <v>30</v>
      </c>
      <c r="J60" s="619">
        <v>5000000</v>
      </c>
      <c r="K60" s="284">
        <f>3000000+2000000</f>
        <v>5000000</v>
      </c>
      <c r="L60" s="620" t="s">
        <v>378</v>
      </c>
      <c r="M60" s="284">
        <f>676724.137931034+46797420.6/423+46660236.7/421.76+46659130.4/421.75</f>
        <v>1008620.738115976</v>
      </c>
      <c r="N60" s="284">
        <v>264937.42719531193</v>
      </c>
      <c r="O60" s="619">
        <f t="shared" si="2"/>
        <v>3991379.2618840239</v>
      </c>
      <c r="P60" s="500" t="s">
        <v>111</v>
      </c>
      <c r="Q60" s="369" t="s">
        <v>428</v>
      </c>
      <c r="S60" s="2"/>
    </row>
    <row r="61" spans="1:19" ht="57" customHeight="1" outlineLevel="1" thickBot="1" x14ac:dyDescent="0.3">
      <c r="A61" s="621"/>
      <c r="B61" s="499" t="s">
        <v>308</v>
      </c>
      <c r="C61" s="622"/>
      <c r="D61" s="616" t="s">
        <v>414</v>
      </c>
      <c r="E61" s="616"/>
      <c r="F61" s="616" t="s">
        <v>431</v>
      </c>
      <c r="G61" s="617" t="s">
        <v>57</v>
      </c>
      <c r="H61" s="617" t="s">
        <v>356</v>
      </c>
      <c r="I61" s="618" t="s">
        <v>51</v>
      </c>
      <c r="J61" s="619"/>
      <c r="K61" s="284">
        <v>168935081.21000001</v>
      </c>
      <c r="L61" s="620">
        <v>1.404E-2</v>
      </c>
      <c r="M61" s="284">
        <f>9751561.92837819+3148517+4073473.9+4413816.1</f>
        <v>21387368.928378187</v>
      </c>
      <c r="N61" s="284">
        <v>2860113.026823787</v>
      </c>
      <c r="O61" s="619">
        <f t="shared" si="2"/>
        <v>147547712.28162181</v>
      </c>
      <c r="P61" s="622"/>
      <c r="Q61" s="623" t="s">
        <v>428</v>
      </c>
      <c r="S61" s="2"/>
    </row>
    <row r="62" spans="1:19" s="594" customFormat="1" ht="15" customHeight="1" x14ac:dyDescent="0.25">
      <c r="A62" s="587" t="s">
        <v>159</v>
      </c>
      <c r="B62" s="588"/>
      <c r="C62" s="589"/>
      <c r="D62" s="624"/>
      <c r="E62" s="624"/>
      <c r="F62" s="590"/>
      <c r="G62" s="590"/>
      <c r="H62" s="590"/>
      <c r="I62" s="590" t="s">
        <v>30</v>
      </c>
      <c r="J62" s="591">
        <f>SUMIF($I$56:$I$61,I62,$J$56:$J$61)</f>
        <v>20000000</v>
      </c>
      <c r="K62" s="591">
        <f>SUMIF($I$56:$I$61,I62,$K$56:$K$61)</f>
        <v>20000000</v>
      </c>
      <c r="L62" s="625"/>
      <c r="M62" s="591">
        <f>SUMIF($I$56:$I$61,I62,$M$56:$M$61)</f>
        <v>14103317.728794757</v>
      </c>
      <c r="N62" s="591">
        <f>SUMIF($I$56:$I$61,I62,$N$56:$N$61)</f>
        <v>1808740.7127698583</v>
      </c>
      <c r="O62" s="591">
        <f>SUMIF($I$56:$I$61,I62,$O$56:$O$61)</f>
        <v>5896682.2712052427</v>
      </c>
      <c r="P62" s="592"/>
      <c r="Q62" s="593"/>
      <c r="R62" s="10"/>
      <c r="S62" s="2"/>
    </row>
    <row r="63" spans="1:19" s="594" customFormat="1" ht="15" customHeight="1" x14ac:dyDescent="0.25">
      <c r="A63" s="595"/>
      <c r="B63" s="596"/>
      <c r="C63" s="597"/>
      <c r="D63" s="562"/>
      <c r="E63" s="562"/>
      <c r="F63" s="598"/>
      <c r="G63" s="598"/>
      <c r="H63" s="598"/>
      <c r="I63" s="598" t="s">
        <v>51</v>
      </c>
      <c r="J63" s="599">
        <f>SUMIF($I$56:$I$61,I63,$J$56:$J$61)</f>
        <v>0</v>
      </c>
      <c r="K63" s="599">
        <f>SUMIF($I$56:$I$61,I63,$K$56:$K$61)</f>
        <v>235029676.21000001</v>
      </c>
      <c r="L63" s="599"/>
      <c r="M63" s="599">
        <f>SUMIF($I$56:$I$61,I63,$M$56:$M$61)</f>
        <v>54434666.468378186</v>
      </c>
      <c r="N63" s="599">
        <f>SUMIF($I$56:$I$61,I63,$N$56:$N$61)</f>
        <v>7324945.3245590813</v>
      </c>
      <c r="O63" s="599">
        <f>SUMIF($I$56:$I$61,I63,$O$56:$O$61)</f>
        <v>180595009.74162182</v>
      </c>
      <c r="P63" s="600"/>
      <c r="Q63" s="601"/>
      <c r="R63" s="10"/>
      <c r="S63" s="2"/>
    </row>
    <row r="64" spans="1:19" s="594" customFormat="1" ht="15" customHeight="1" x14ac:dyDescent="0.25">
      <c r="A64" s="595"/>
      <c r="B64" s="596"/>
      <c r="C64" s="597"/>
      <c r="D64" s="562"/>
      <c r="E64" s="562"/>
      <c r="F64" s="598"/>
      <c r="G64" s="598"/>
      <c r="H64" s="598"/>
      <c r="I64" s="598" t="s">
        <v>26</v>
      </c>
      <c r="J64" s="599">
        <f>SUMIF($I$56:$I$61,I64,$J$56:$J$61)</f>
        <v>0</v>
      </c>
      <c r="K64" s="599">
        <f>SUMIF($I$56:$I$61,I64,$K$56:$K$61)</f>
        <v>0</v>
      </c>
      <c r="L64" s="599"/>
      <c r="M64" s="599">
        <f>SUMIF($I$56:$I$61,I64,$M$56:$M$61)</f>
        <v>0</v>
      </c>
      <c r="N64" s="599">
        <f>SUMIF($I$56:$I$61,I64,$N$56:$N$61)</f>
        <v>0</v>
      </c>
      <c r="O64" s="599">
        <f>SUMIF($I$56:$I$61,I64,$O$56:$O$61)</f>
        <v>0</v>
      </c>
      <c r="P64" s="600"/>
      <c r="Q64" s="601"/>
      <c r="R64" s="10"/>
      <c r="S64" s="2"/>
    </row>
    <row r="65" spans="1:19" s="594" customFormat="1" ht="15" customHeight="1" thickBot="1" x14ac:dyDescent="0.3">
      <c r="A65" s="606"/>
      <c r="B65" s="607"/>
      <c r="C65" s="608"/>
      <c r="D65" s="626"/>
      <c r="E65" s="626"/>
      <c r="F65" s="609"/>
      <c r="G65" s="609"/>
      <c r="H65" s="609"/>
      <c r="I65" s="609" t="s">
        <v>18</v>
      </c>
      <c r="J65" s="613">
        <f>SUMIF($I$56:$I$61,I65,$J$56:$J$61)</f>
        <v>0</v>
      </c>
      <c r="K65" s="613">
        <f>SUMIF($I$56:$I$61,I65,$K$56:$K$61)</f>
        <v>0</v>
      </c>
      <c r="L65" s="613"/>
      <c r="M65" s="613">
        <f>SUMIF($I$56:$I$61,I65,$M$56:$M$61)</f>
        <v>0</v>
      </c>
      <c r="N65" s="613">
        <f>SUMIF($I$56:$I$61,I65,$N$56:$N$61)</f>
        <v>0</v>
      </c>
      <c r="O65" s="613">
        <f>SUMIF($I$56:$I$61,I65,$O$56:$O$61)</f>
        <v>0</v>
      </c>
      <c r="P65" s="614"/>
      <c r="Q65" s="615"/>
      <c r="R65" s="10"/>
      <c r="S65" s="2"/>
    </row>
    <row r="66" spans="1:19" s="6" customFormat="1" ht="91.5" customHeight="1" outlineLevel="1" x14ac:dyDescent="0.25">
      <c r="A66" s="225">
        <v>33</v>
      </c>
      <c r="B66" s="282" t="s">
        <v>100</v>
      </c>
      <c r="C66" s="282" t="s">
        <v>101</v>
      </c>
      <c r="D66" s="367" t="s">
        <v>417</v>
      </c>
      <c r="E66" s="367"/>
      <c r="F66" s="368" t="s">
        <v>405</v>
      </c>
      <c r="G66" s="289" t="s">
        <v>102</v>
      </c>
      <c r="H66" s="282" t="s">
        <v>215</v>
      </c>
      <c r="I66" s="282" t="s">
        <v>51</v>
      </c>
      <c r="J66" s="284">
        <v>74000000000</v>
      </c>
      <c r="K66" s="284">
        <v>74000000000</v>
      </c>
      <c r="L66" s="290" t="s">
        <v>67</v>
      </c>
      <c r="M66" s="284">
        <f>38761904762.2+1761904761.9+1761904761.9+1761904761.9+1761904761.9+1761904761.9+1761904761.9+1761904761.9+1761904761.9+1761904761.9+1761904761.9+1761904761.9+1761904761.9+1761904761.9+1761904761.9+1761904761.9+1761904762+1761904762</f>
        <v>68714285714.70002</v>
      </c>
      <c r="N66" s="284">
        <f>27971909177.5+338144.2+498915.4+526901.3+642474.8+795979.5+10421637.5+1734045.9+86178.9+156588.3+335841+256258.7+369392+1307877+6082866+2634+4444.2</f>
        <v>27995469356.200005</v>
      </c>
      <c r="O66" s="286">
        <f>K66-M66</f>
        <v>5285714285.2999802</v>
      </c>
      <c r="P66" s="291" t="s">
        <v>111</v>
      </c>
      <c r="Q66" s="369" t="s">
        <v>428</v>
      </c>
      <c r="R66" s="5"/>
      <c r="S66" s="2"/>
    </row>
    <row r="67" spans="1:19" s="6" customFormat="1" ht="91.5" customHeight="1" outlineLevel="1" x14ac:dyDescent="0.25">
      <c r="A67" s="225">
        <v>34</v>
      </c>
      <c r="B67" s="282" t="s">
        <v>100</v>
      </c>
      <c r="C67" s="282" t="s">
        <v>131</v>
      </c>
      <c r="D67" s="282" t="s">
        <v>61</v>
      </c>
      <c r="E67" s="282"/>
      <c r="F67" s="368" t="s">
        <v>405</v>
      </c>
      <c r="G67" s="289" t="s">
        <v>133</v>
      </c>
      <c r="H67" s="282" t="s">
        <v>134</v>
      </c>
      <c r="I67" s="282" t="s">
        <v>51</v>
      </c>
      <c r="J67" s="284">
        <v>2035890300</v>
      </c>
      <c r="K67" s="284">
        <v>2035890300</v>
      </c>
      <c r="L67" s="290" t="s">
        <v>98</v>
      </c>
      <c r="M67" s="284">
        <v>0</v>
      </c>
      <c r="N67" s="284">
        <v>0</v>
      </c>
      <c r="O67" s="286">
        <f t="shared" ref="O67:O72" si="3">K67-M67</f>
        <v>2035890300</v>
      </c>
      <c r="P67" s="291" t="s">
        <v>111</v>
      </c>
      <c r="Q67" s="369" t="s">
        <v>428</v>
      </c>
      <c r="R67" s="5"/>
      <c r="S67" s="2"/>
    </row>
    <row r="68" spans="1:19" ht="81" outlineLevel="1" x14ac:dyDescent="0.25">
      <c r="A68" s="511">
        <v>35</v>
      </c>
      <c r="B68" s="495" t="s">
        <v>3</v>
      </c>
      <c r="C68" s="282" t="s">
        <v>4</v>
      </c>
      <c r="D68" s="368" t="s">
        <v>61</v>
      </c>
      <c r="E68" s="368" t="s">
        <v>439</v>
      </c>
      <c r="F68" s="368"/>
      <c r="G68" s="289" t="s">
        <v>360</v>
      </c>
      <c r="H68" s="368" t="s">
        <v>80</v>
      </c>
      <c r="I68" s="503" t="s">
        <v>30</v>
      </c>
      <c r="J68" s="284">
        <v>3500000</v>
      </c>
      <c r="K68" s="284">
        <v>3500000</v>
      </c>
      <c r="L68" s="290">
        <v>7.4999999999999997E-3</v>
      </c>
      <c r="M68" s="284">
        <f>696000+31440060/542.07+58000+24255020/418.19+24400600/420.7+25920780/446.91+24152360/416.42+23862360/411.42</f>
        <v>1102000</v>
      </c>
      <c r="N68" s="284">
        <f>399592.922231146+10515+10297.5+4215355.2/418.19+4149153.8/420.7+4310447/446.91+3925799.6/416.42+3789178.2/411.42</f>
        <v>468630.42258194601</v>
      </c>
      <c r="O68" s="286">
        <f t="shared" si="3"/>
        <v>2398000</v>
      </c>
      <c r="P68" s="291" t="s">
        <v>111</v>
      </c>
      <c r="Q68" s="369" t="s">
        <v>428</v>
      </c>
      <c r="S68" s="2"/>
    </row>
    <row r="69" spans="1:19" ht="128.25" customHeight="1" outlineLevel="1" x14ac:dyDescent="0.25">
      <c r="A69" s="225">
        <v>36</v>
      </c>
      <c r="B69" s="495" t="s">
        <v>118</v>
      </c>
      <c r="C69" s="282" t="s">
        <v>122</v>
      </c>
      <c r="D69" s="282" t="s">
        <v>8</v>
      </c>
      <c r="E69" s="282"/>
      <c r="F69" s="368" t="s">
        <v>405</v>
      </c>
      <c r="G69" s="550" t="s">
        <v>119</v>
      </c>
      <c r="H69" s="368" t="s">
        <v>177</v>
      </c>
      <c r="I69" s="503" t="s">
        <v>26</v>
      </c>
      <c r="J69" s="286">
        <v>1689937.9</v>
      </c>
      <c r="K69" s="284">
        <v>1689937.9</v>
      </c>
      <c r="L69" s="570">
        <v>5.9900000000000002E-2</v>
      </c>
      <c r="M69" s="284">
        <f>872805.23+28165+28165+28165+28165</f>
        <v>985465.23</v>
      </c>
      <c r="N69" s="284">
        <f>1964862.47+25588.58+24871.58+24276.42+23029.84</f>
        <v>2062628.8900000001</v>
      </c>
      <c r="O69" s="286">
        <f t="shared" si="3"/>
        <v>704472.66999999993</v>
      </c>
      <c r="P69" s="627" t="s">
        <v>111</v>
      </c>
      <c r="Q69" s="628" t="s">
        <v>428</v>
      </c>
      <c r="S69" s="2"/>
    </row>
    <row r="70" spans="1:19" ht="98.25" customHeight="1" outlineLevel="1" x14ac:dyDescent="0.25">
      <c r="A70" s="511">
        <v>37</v>
      </c>
      <c r="B70" s="495" t="s">
        <v>120</v>
      </c>
      <c r="C70" s="282" t="s">
        <v>123</v>
      </c>
      <c r="D70" s="282" t="s">
        <v>8</v>
      </c>
      <c r="E70" s="282"/>
      <c r="F70" s="368" t="s">
        <v>405</v>
      </c>
      <c r="G70" s="550" t="s">
        <v>121</v>
      </c>
      <c r="H70" s="368" t="s">
        <v>178</v>
      </c>
      <c r="I70" s="503" t="s">
        <v>26</v>
      </c>
      <c r="J70" s="286">
        <v>2828000</v>
      </c>
      <c r="K70" s="284">
        <v>2828000</v>
      </c>
      <c r="L70" s="570">
        <v>5.9900000000000002E-2</v>
      </c>
      <c r="M70" s="286">
        <f>1128831.5+47000+47000+47000</f>
        <v>1269831.5</v>
      </c>
      <c r="N70" s="284">
        <f>1731608.85+50775.51+49371.71+48231.48</f>
        <v>1879987.55</v>
      </c>
      <c r="O70" s="286">
        <f t="shared" si="3"/>
        <v>1558168.5</v>
      </c>
      <c r="P70" s="627" t="s">
        <v>111</v>
      </c>
      <c r="Q70" s="628" t="s">
        <v>428</v>
      </c>
      <c r="S70" s="2"/>
    </row>
    <row r="71" spans="1:19" s="215" customFormat="1" ht="140.25" customHeight="1" outlineLevel="1" x14ac:dyDescent="0.25">
      <c r="A71" s="225">
        <v>38</v>
      </c>
      <c r="B71" s="495" t="s">
        <v>114</v>
      </c>
      <c r="C71" s="282" t="s">
        <v>115</v>
      </c>
      <c r="D71" s="282" t="s">
        <v>8</v>
      </c>
      <c r="E71" s="282"/>
      <c r="F71" s="368" t="s">
        <v>405</v>
      </c>
      <c r="G71" s="368" t="s">
        <v>116</v>
      </c>
      <c r="H71" s="368" t="s">
        <v>117</v>
      </c>
      <c r="I71" s="282" t="s">
        <v>51</v>
      </c>
      <c r="J71" s="516">
        <v>2092000000</v>
      </c>
      <c r="K71" s="284">
        <v>2092000000</v>
      </c>
      <c r="L71" s="629">
        <v>0.02</v>
      </c>
      <c r="M71" s="284">
        <f>354576270+35457627.1+35457627+35457627+35457627+35457627.12</f>
        <v>531864405.22000003</v>
      </c>
      <c r="N71" s="284">
        <f>426427783.87+17517039.3+16879773.4+16802058.1+16265822.2+16087076.86</f>
        <v>509979553.73000002</v>
      </c>
      <c r="O71" s="286">
        <f t="shared" si="3"/>
        <v>1560135594.78</v>
      </c>
      <c r="P71" s="627" t="s">
        <v>111</v>
      </c>
      <c r="Q71" s="628" t="s">
        <v>428</v>
      </c>
      <c r="R71" s="214"/>
      <c r="S71" s="2"/>
    </row>
    <row r="72" spans="1:19" s="215" customFormat="1" ht="123.75" customHeight="1" outlineLevel="1" thickBot="1" x14ac:dyDescent="0.3">
      <c r="A72" s="630">
        <v>39</v>
      </c>
      <c r="B72" s="631" t="s">
        <v>114</v>
      </c>
      <c r="C72" s="522" t="s">
        <v>212</v>
      </c>
      <c r="D72" s="522" t="s">
        <v>8</v>
      </c>
      <c r="E72" s="522"/>
      <c r="F72" s="523" t="s">
        <v>405</v>
      </c>
      <c r="G72" s="523" t="s">
        <v>213</v>
      </c>
      <c r="H72" s="523" t="s">
        <v>214</v>
      </c>
      <c r="I72" s="523" t="s">
        <v>51</v>
      </c>
      <c r="J72" s="632">
        <v>2187306400</v>
      </c>
      <c r="K72" s="632">
        <v>2187306400</v>
      </c>
      <c r="L72" s="633">
        <v>0.03</v>
      </c>
      <c r="M72" s="634">
        <v>75424358.620000005</v>
      </c>
      <c r="N72" s="634">
        <f>224789707.9+33079263.9+32539928.1+33079263.9+32719706.7+33079263.9</f>
        <v>389287134.39999998</v>
      </c>
      <c r="O72" s="635">
        <f t="shared" si="3"/>
        <v>2111882041.3800001</v>
      </c>
      <c r="P72" s="636" t="s">
        <v>111</v>
      </c>
      <c r="Q72" s="637" t="s">
        <v>428</v>
      </c>
      <c r="R72" s="214"/>
      <c r="S72" s="2"/>
    </row>
    <row r="73" spans="1:19" s="594" customFormat="1" ht="15" customHeight="1" x14ac:dyDescent="0.25">
      <c r="A73" s="595" t="s">
        <v>160</v>
      </c>
      <c r="B73" s="596"/>
      <c r="C73" s="597"/>
      <c r="D73" s="638"/>
      <c r="E73" s="638"/>
      <c r="F73" s="639"/>
      <c r="G73" s="639"/>
      <c r="H73" s="639"/>
      <c r="I73" s="639" t="s">
        <v>30</v>
      </c>
      <c r="J73" s="640">
        <f>SUMIF($I$66:$I$72,I73,$J$66:$J$72)</f>
        <v>3500000</v>
      </c>
      <c r="K73" s="640">
        <f>SUMIF($I$66:$I$72,I73,$K$66:$K$72)</f>
        <v>3500000</v>
      </c>
      <c r="L73" s="640"/>
      <c r="M73" s="640">
        <f>SUMIF($I$66:$I$72,I73,$M$66:$M$72)</f>
        <v>1102000</v>
      </c>
      <c r="N73" s="640">
        <f>SUMIF($I$66:$I$72,I73,$N$66:$N$72)</f>
        <v>468630.42258194601</v>
      </c>
      <c r="O73" s="640">
        <f>SUMIF($I$66:$I$72,I73,$O$66:$O$72)</f>
        <v>2398000</v>
      </c>
      <c r="P73" s="641"/>
      <c r="Q73" s="593"/>
      <c r="R73" s="10"/>
      <c r="S73" s="2"/>
    </row>
    <row r="74" spans="1:19" s="594" customFormat="1" ht="15" customHeight="1" x14ac:dyDescent="0.25">
      <c r="A74" s="595"/>
      <c r="B74" s="596"/>
      <c r="C74" s="597"/>
      <c r="D74" s="562"/>
      <c r="E74" s="562"/>
      <c r="F74" s="598"/>
      <c r="G74" s="598"/>
      <c r="H74" s="598"/>
      <c r="I74" s="598" t="s">
        <v>51</v>
      </c>
      <c r="J74" s="599">
        <f>SUMIF($I$66:$I$72,I74,$J$66:$J$72)</f>
        <v>80315196700</v>
      </c>
      <c r="K74" s="599">
        <f>SUMIF($I$66:$I$72,I74,$K$66:$K$72)</f>
        <v>80315196700</v>
      </c>
      <c r="L74" s="599"/>
      <c r="M74" s="599">
        <f>SUMIF($I$66:$I$72,I74,$M$66:$M$72)</f>
        <v>69321574478.540009</v>
      </c>
      <c r="N74" s="599">
        <f>SUMIF($I$66:$I$72,I74,$N$66:$N$72)</f>
        <v>28894736044.330006</v>
      </c>
      <c r="O74" s="599">
        <f>SUMIF($I$66:$I$72,I74,$O$66:$O$72)</f>
        <v>10993622221.45998</v>
      </c>
      <c r="P74" s="600"/>
      <c r="Q74" s="601"/>
      <c r="R74" s="10"/>
      <c r="S74" s="2"/>
    </row>
    <row r="75" spans="1:19" s="594" customFormat="1" ht="15" customHeight="1" x14ac:dyDescent="0.25">
      <c r="A75" s="595"/>
      <c r="B75" s="596"/>
      <c r="C75" s="597"/>
      <c r="D75" s="562"/>
      <c r="E75" s="562"/>
      <c r="F75" s="598"/>
      <c r="G75" s="598"/>
      <c r="H75" s="598"/>
      <c r="I75" s="598" t="s">
        <v>26</v>
      </c>
      <c r="J75" s="599">
        <f>SUMIF($I$66:$I$72,I75,$J$66:$J$72)</f>
        <v>4517937.9000000004</v>
      </c>
      <c r="K75" s="599">
        <f>SUMIF($I$66:$I$72,I75,$K$66:$K$72)</f>
        <v>4517937.9000000004</v>
      </c>
      <c r="L75" s="599"/>
      <c r="M75" s="599">
        <f>SUMIF($I$66:$I$72,I75,$M$66:$M$72)</f>
        <v>2255296.73</v>
      </c>
      <c r="N75" s="599">
        <f>SUMIF($I$66:$I$72,I75,$N$66:$N$72)</f>
        <v>3942616.4400000004</v>
      </c>
      <c r="O75" s="599">
        <f>SUMIF($I$66:$I$72,I75,$O$66:$O$72)</f>
        <v>2262641.17</v>
      </c>
      <c r="P75" s="600"/>
      <c r="Q75" s="601"/>
      <c r="R75" s="10"/>
      <c r="S75" s="2"/>
    </row>
    <row r="76" spans="1:19" s="594" customFormat="1" ht="15" customHeight="1" thickBot="1" x14ac:dyDescent="0.3">
      <c r="A76" s="606"/>
      <c r="B76" s="607"/>
      <c r="C76" s="608"/>
      <c r="D76" s="626"/>
      <c r="E76" s="626"/>
      <c r="F76" s="609"/>
      <c r="G76" s="609"/>
      <c r="H76" s="609"/>
      <c r="I76" s="609" t="s">
        <v>18</v>
      </c>
      <c r="J76" s="613">
        <f>SUMIF($I$66:$I$72,I76,$J$66:$J$72)</f>
        <v>0</v>
      </c>
      <c r="K76" s="613">
        <f>SUMIF($I$66:$I$72,I76,$K$66:$K$72)</f>
        <v>0</v>
      </c>
      <c r="L76" s="613"/>
      <c r="M76" s="613">
        <f>SUMIF($I$66:$I$72,I76,$M$66:$M$72)</f>
        <v>0</v>
      </c>
      <c r="N76" s="613">
        <f>SUMIF($I$66:$I$72,I76,$N$66:$N$72)</f>
        <v>0</v>
      </c>
      <c r="O76" s="613">
        <f>SUMIF($I$66:$I$72,I76,$O$66:$O$72)</f>
        <v>0</v>
      </c>
      <c r="P76" s="614"/>
      <c r="Q76" s="615"/>
      <c r="R76" s="10"/>
      <c r="S76" s="2"/>
    </row>
    <row r="77" spans="1:19" s="6" customFormat="1" ht="77.25" customHeight="1" outlineLevel="1" x14ac:dyDescent="0.25">
      <c r="A77" s="225">
        <v>40</v>
      </c>
      <c r="B77" s="495" t="s">
        <v>124</v>
      </c>
      <c r="C77" s="282" t="s">
        <v>107</v>
      </c>
      <c r="D77" s="367" t="s">
        <v>106</v>
      </c>
      <c r="E77" s="367"/>
      <c r="F77" s="513" t="s">
        <v>432</v>
      </c>
      <c r="G77" s="367" t="s">
        <v>135</v>
      </c>
      <c r="H77" s="282" t="s">
        <v>231</v>
      </c>
      <c r="I77" s="503" t="s">
        <v>26</v>
      </c>
      <c r="J77" s="284">
        <v>361332</v>
      </c>
      <c r="K77" s="284">
        <v>361332</v>
      </c>
      <c r="L77" s="290">
        <v>7.7700000000000005E-2</v>
      </c>
      <c r="M77" s="284">
        <f>219031+1000000/388.24</f>
        <v>221606.72635483206</v>
      </c>
      <c r="N77" s="284">
        <f>187530</f>
        <v>187530</v>
      </c>
      <c r="O77" s="286">
        <f>K77-M77</f>
        <v>139725.27364516794</v>
      </c>
      <c r="P77" s="291" t="s">
        <v>127</v>
      </c>
      <c r="Q77" s="518" t="s">
        <v>433</v>
      </c>
      <c r="R77" s="5"/>
      <c r="S77" s="2"/>
    </row>
    <row r="78" spans="1:19" ht="64.5" customHeight="1" outlineLevel="1" x14ac:dyDescent="0.25">
      <c r="A78" s="225">
        <v>41</v>
      </c>
      <c r="B78" s="495" t="s">
        <v>219</v>
      </c>
      <c r="C78" s="282" t="s">
        <v>238</v>
      </c>
      <c r="D78" s="616" t="s">
        <v>52</v>
      </c>
      <c r="E78" s="616"/>
      <c r="F78" s="616" t="s">
        <v>430</v>
      </c>
      <c r="G78" s="552" t="s">
        <v>220</v>
      </c>
      <c r="H78" s="284" t="s">
        <v>221</v>
      </c>
      <c r="I78" s="503" t="s">
        <v>30</v>
      </c>
      <c r="J78" s="284">
        <v>8000000</v>
      </c>
      <c r="K78" s="284">
        <v>80000</v>
      </c>
      <c r="L78" s="290" t="s">
        <v>98</v>
      </c>
      <c r="M78" s="284">
        <f>10909.09+3636.36+3636.36+1428217/392.76+1554016/427.35+3636.4+3632.85+3636.4</f>
        <v>36360.221703756208</v>
      </c>
      <c r="N78" s="284">
        <f>105386.95+361.72+42360.02+4761284/392.76+5116448/427.35+12019.8+11989.6+11973.65</f>
        <v>208186.86988818215</v>
      </c>
      <c r="O78" s="286">
        <f>K78-M78</f>
        <v>43639.778296243792</v>
      </c>
      <c r="P78" s="291" t="s">
        <v>222</v>
      </c>
      <c r="Q78" s="369" t="s">
        <v>428</v>
      </c>
      <c r="S78" s="2"/>
    </row>
    <row r="79" spans="1:19" ht="63" customHeight="1" outlineLevel="1" x14ac:dyDescent="0.25">
      <c r="A79" s="225">
        <v>42</v>
      </c>
      <c r="B79" s="495" t="s">
        <v>219</v>
      </c>
      <c r="C79" s="282" t="s">
        <v>239</v>
      </c>
      <c r="D79" s="616" t="s">
        <v>56</v>
      </c>
      <c r="E79" s="616"/>
      <c r="F79" s="616" t="s">
        <v>430</v>
      </c>
      <c r="G79" s="552" t="s">
        <v>223</v>
      </c>
      <c r="H79" s="284" t="s">
        <v>221</v>
      </c>
      <c r="I79" s="503" t="s">
        <v>30</v>
      </c>
      <c r="J79" s="284">
        <v>8000000</v>
      </c>
      <c r="K79" s="284"/>
      <c r="L79" s="290" t="s">
        <v>98</v>
      </c>
      <c r="M79" s="284"/>
      <c r="N79" s="284"/>
      <c r="O79" s="286">
        <f>K79-M79</f>
        <v>0</v>
      </c>
      <c r="P79" s="291" t="s">
        <v>222</v>
      </c>
      <c r="Q79" s="369" t="s">
        <v>428</v>
      </c>
      <c r="S79" s="2"/>
    </row>
    <row r="80" spans="1:19" ht="71.25" customHeight="1" outlineLevel="1" x14ac:dyDescent="0.25">
      <c r="A80" s="498">
        <v>43</v>
      </c>
      <c r="B80" s="566" t="s">
        <v>274</v>
      </c>
      <c r="C80" s="500" t="s">
        <v>357</v>
      </c>
      <c r="D80" s="616" t="s">
        <v>52</v>
      </c>
      <c r="E80" s="616"/>
      <c r="F80" s="616" t="s">
        <v>430</v>
      </c>
      <c r="G80" s="552" t="s">
        <v>275</v>
      </c>
      <c r="H80" s="500" t="s">
        <v>358</v>
      </c>
      <c r="I80" s="503" t="s">
        <v>30</v>
      </c>
      <c r="J80" s="284">
        <v>5500000</v>
      </c>
      <c r="K80" s="284">
        <f>1384955.78+492272.39+301757.1+219245.55+25340.75+40551.45+228066.75+500000</f>
        <v>3192189.77</v>
      </c>
      <c r="L80" s="290" t="s">
        <v>98</v>
      </c>
      <c r="M80" s="284"/>
      <c r="N80" s="284"/>
      <c r="O80" s="286">
        <f t="shared" ref="O80:O104" si="4">K80-M80</f>
        <v>3192189.77</v>
      </c>
      <c r="P80" s="291" t="s">
        <v>111</v>
      </c>
      <c r="Q80" s="369" t="s">
        <v>433</v>
      </c>
      <c r="S80" s="2"/>
    </row>
    <row r="81" spans="1:19" ht="74.25" customHeight="1" outlineLevel="1" x14ac:dyDescent="0.25">
      <c r="A81" s="506"/>
      <c r="B81" s="567"/>
      <c r="C81" s="507"/>
      <c r="D81" s="616" t="s">
        <v>414</v>
      </c>
      <c r="E81" s="616"/>
      <c r="F81" s="616" t="s">
        <v>431</v>
      </c>
      <c r="G81" s="552"/>
      <c r="H81" s="507"/>
      <c r="I81" s="368" t="s">
        <v>51</v>
      </c>
      <c r="J81" s="284">
        <v>92733053.200000003</v>
      </c>
      <c r="K81" s="284">
        <f>92733053.2+20276600+1679251+16492341.9+20399976.4+42969092+26833268.5</f>
        <v>221383583</v>
      </c>
      <c r="L81" s="290"/>
      <c r="M81" s="284"/>
      <c r="N81" s="284"/>
      <c r="O81" s="286">
        <f t="shared" si="4"/>
        <v>221383583</v>
      </c>
      <c r="P81" s="291"/>
      <c r="Q81" s="369" t="s">
        <v>433</v>
      </c>
      <c r="S81" s="2"/>
    </row>
    <row r="82" spans="1:19" ht="80.25" customHeight="1" outlineLevel="1" x14ac:dyDescent="0.25">
      <c r="A82" s="225">
        <v>44</v>
      </c>
      <c r="B82" s="495" t="s">
        <v>74</v>
      </c>
      <c r="C82" s="282" t="s">
        <v>129</v>
      </c>
      <c r="D82" s="282" t="s">
        <v>414</v>
      </c>
      <c r="E82" s="282"/>
      <c r="F82" s="368" t="s">
        <v>430</v>
      </c>
      <c r="G82" s="552" t="s">
        <v>68</v>
      </c>
      <c r="H82" s="284" t="s">
        <v>224</v>
      </c>
      <c r="I82" s="368" t="s">
        <v>51</v>
      </c>
      <c r="J82" s="284">
        <v>249300000</v>
      </c>
      <c r="K82" s="284">
        <v>249300000</v>
      </c>
      <c r="L82" s="565">
        <v>1E-3</v>
      </c>
      <c r="M82" s="284">
        <f>42881892.9</f>
        <v>42881892.899999999</v>
      </c>
      <c r="N82" s="284">
        <f>528153.5</f>
        <v>528153.5</v>
      </c>
      <c r="O82" s="286">
        <f t="shared" si="4"/>
        <v>206418107.09999999</v>
      </c>
      <c r="P82" s="291" t="s">
        <v>111</v>
      </c>
      <c r="Q82" s="369" t="s">
        <v>428</v>
      </c>
      <c r="S82" s="2"/>
    </row>
    <row r="83" spans="1:19" ht="148.5" outlineLevel="1" x14ac:dyDescent="0.25">
      <c r="A83" s="225">
        <v>45</v>
      </c>
      <c r="B83" s="499" t="s">
        <v>192</v>
      </c>
      <c r="C83" s="553" t="s">
        <v>193</v>
      </c>
      <c r="D83" s="616" t="s">
        <v>145</v>
      </c>
      <c r="E83" s="616"/>
      <c r="F83" s="616" t="s">
        <v>430</v>
      </c>
      <c r="G83" s="617" t="s">
        <v>194</v>
      </c>
      <c r="H83" s="619" t="s">
        <v>195</v>
      </c>
      <c r="I83" s="503" t="s">
        <v>26</v>
      </c>
      <c r="J83" s="284">
        <v>4000000</v>
      </c>
      <c r="K83" s="284">
        <v>1325350.5999999999</v>
      </c>
      <c r="L83" s="290" t="s">
        <v>98</v>
      </c>
      <c r="M83" s="284">
        <f>465353.9+34986668/397.71+41212635/391.46+40758842/387.15</f>
        <v>763882.69981118676</v>
      </c>
      <c r="N83" s="284">
        <f>188098.2+7483550/397.71+8032446/391.46+5274803/387.15</f>
        <v>241058.70097373266</v>
      </c>
      <c r="O83" s="585">
        <f>K83-M83</f>
        <v>561467.9001888131</v>
      </c>
      <c r="P83" s="553" t="s">
        <v>304</v>
      </c>
      <c r="Q83" s="370" t="s">
        <v>428</v>
      </c>
      <c r="S83" s="2"/>
    </row>
    <row r="84" spans="1:19" s="215" customFormat="1" ht="27" outlineLevel="1" x14ac:dyDescent="0.25">
      <c r="A84" s="225">
        <v>46</v>
      </c>
      <c r="B84" s="495" t="s">
        <v>163</v>
      </c>
      <c r="C84" s="282" t="s">
        <v>101</v>
      </c>
      <c r="D84" s="368" t="s">
        <v>417</v>
      </c>
      <c r="E84" s="368"/>
      <c r="F84" s="368" t="s">
        <v>405</v>
      </c>
      <c r="G84" s="368" t="s">
        <v>109</v>
      </c>
      <c r="H84" s="368" t="s">
        <v>393</v>
      </c>
      <c r="I84" s="368" t="s">
        <v>51</v>
      </c>
      <c r="J84" s="516">
        <v>50600000</v>
      </c>
      <c r="K84" s="284">
        <v>50600000</v>
      </c>
      <c r="L84" s="495" t="s">
        <v>110</v>
      </c>
      <c r="M84" s="284"/>
      <c r="N84" s="284"/>
      <c r="O84" s="516">
        <f t="shared" si="4"/>
        <v>50600000</v>
      </c>
      <c r="P84" s="291" t="s">
        <v>111</v>
      </c>
      <c r="Q84" s="369" t="s">
        <v>433</v>
      </c>
      <c r="R84" s="214"/>
      <c r="S84" s="2"/>
    </row>
    <row r="85" spans="1:19" s="215" customFormat="1" ht="40.5" customHeight="1" outlineLevel="1" x14ac:dyDescent="0.25">
      <c r="A85" s="225">
        <v>47</v>
      </c>
      <c r="B85" s="495" t="s">
        <v>163</v>
      </c>
      <c r="C85" s="282" t="s">
        <v>101</v>
      </c>
      <c r="D85" s="368" t="s">
        <v>417</v>
      </c>
      <c r="E85" s="368"/>
      <c r="F85" s="368" t="s">
        <v>405</v>
      </c>
      <c r="G85" s="368" t="s">
        <v>112</v>
      </c>
      <c r="H85" s="368" t="s">
        <v>394</v>
      </c>
      <c r="I85" s="282" t="s">
        <v>51</v>
      </c>
      <c r="J85" s="516">
        <v>1100000000</v>
      </c>
      <c r="K85" s="284">
        <v>1100000000</v>
      </c>
      <c r="L85" s="495" t="s">
        <v>110</v>
      </c>
      <c r="M85" s="284"/>
      <c r="N85" s="284"/>
      <c r="O85" s="516">
        <f t="shared" si="4"/>
        <v>1100000000</v>
      </c>
      <c r="P85" s="566" t="s">
        <v>379</v>
      </c>
      <c r="Q85" s="369" t="s">
        <v>433</v>
      </c>
      <c r="R85" s="214"/>
      <c r="S85" s="2"/>
    </row>
    <row r="86" spans="1:19" s="215" customFormat="1" ht="27" outlineLevel="1" x14ac:dyDescent="0.25">
      <c r="A86" s="225">
        <v>48</v>
      </c>
      <c r="B86" s="495" t="s">
        <v>163</v>
      </c>
      <c r="C86" s="282" t="s">
        <v>101</v>
      </c>
      <c r="D86" s="368" t="s">
        <v>417</v>
      </c>
      <c r="E86" s="368"/>
      <c r="F86" s="368" t="s">
        <v>405</v>
      </c>
      <c r="G86" s="368" t="s">
        <v>113</v>
      </c>
      <c r="H86" s="368" t="s">
        <v>395</v>
      </c>
      <c r="I86" s="282" t="s">
        <v>51</v>
      </c>
      <c r="J86" s="516">
        <v>792386600</v>
      </c>
      <c r="K86" s="284">
        <v>791031693</v>
      </c>
      <c r="L86" s="495" t="s">
        <v>110</v>
      </c>
      <c r="M86" s="284"/>
      <c r="N86" s="284"/>
      <c r="O86" s="516">
        <f t="shared" si="4"/>
        <v>791031693</v>
      </c>
      <c r="P86" s="642"/>
      <c r="Q86" s="369" t="s">
        <v>433</v>
      </c>
      <c r="R86" s="214"/>
      <c r="S86" s="2"/>
    </row>
    <row r="87" spans="1:19" s="215" customFormat="1" ht="27" outlineLevel="1" x14ac:dyDescent="0.25">
      <c r="A87" s="225">
        <v>49</v>
      </c>
      <c r="B87" s="495" t="s">
        <v>163</v>
      </c>
      <c r="C87" s="282" t="s">
        <v>101</v>
      </c>
      <c r="D87" s="368" t="s">
        <v>417</v>
      </c>
      <c r="E87" s="368"/>
      <c r="F87" s="368" t="s">
        <v>405</v>
      </c>
      <c r="G87" s="368" t="s">
        <v>148</v>
      </c>
      <c r="H87" s="368" t="s">
        <v>396</v>
      </c>
      <c r="I87" s="282" t="s">
        <v>51</v>
      </c>
      <c r="J87" s="516">
        <v>254672300</v>
      </c>
      <c r="K87" s="284">
        <f>168444408+75498000+5196300+5196300</f>
        <v>254335008</v>
      </c>
      <c r="L87" s="495" t="s">
        <v>110</v>
      </c>
      <c r="M87" s="284"/>
      <c r="N87" s="284"/>
      <c r="O87" s="516">
        <f t="shared" si="4"/>
        <v>254335008</v>
      </c>
      <c r="P87" s="567"/>
      <c r="Q87" s="369" t="s">
        <v>433</v>
      </c>
      <c r="R87" s="214"/>
      <c r="S87" s="2"/>
    </row>
    <row r="88" spans="1:19" s="215" customFormat="1" ht="40.5" outlineLevel="1" x14ac:dyDescent="0.25">
      <c r="A88" s="225">
        <v>50</v>
      </c>
      <c r="B88" s="495" t="s">
        <v>166</v>
      </c>
      <c r="C88" s="282" t="s">
        <v>101</v>
      </c>
      <c r="D88" s="368" t="s">
        <v>414</v>
      </c>
      <c r="E88" s="368"/>
      <c r="F88" s="368"/>
      <c r="G88" s="368" t="s">
        <v>167</v>
      </c>
      <c r="H88" s="368" t="s">
        <v>168</v>
      </c>
      <c r="I88" s="282" t="s">
        <v>51</v>
      </c>
      <c r="J88" s="516">
        <v>88731015</v>
      </c>
      <c r="K88" s="284">
        <v>88731000</v>
      </c>
      <c r="L88" s="514">
        <v>8.5000000000000006E-2</v>
      </c>
      <c r="M88" s="284">
        <f>88731000</f>
        <v>88731000</v>
      </c>
      <c r="N88" s="284">
        <f>1591081+30000000</f>
        <v>31591081</v>
      </c>
      <c r="O88" s="516">
        <f t="shared" si="4"/>
        <v>0</v>
      </c>
      <c r="P88" s="627" t="s">
        <v>169</v>
      </c>
      <c r="Q88" s="628" t="s">
        <v>433</v>
      </c>
      <c r="R88" s="214"/>
      <c r="S88" s="2"/>
    </row>
    <row r="89" spans="1:19" ht="81" outlineLevel="1" x14ac:dyDescent="0.25">
      <c r="A89" s="225">
        <v>51</v>
      </c>
      <c r="B89" s="499" t="s">
        <v>229</v>
      </c>
      <c r="C89" s="553" t="s">
        <v>156</v>
      </c>
      <c r="D89" s="553" t="s">
        <v>8</v>
      </c>
      <c r="E89" s="553"/>
      <c r="F89" s="616" t="s">
        <v>405</v>
      </c>
      <c r="G89" s="282" t="s">
        <v>201</v>
      </c>
      <c r="H89" s="282" t="s">
        <v>200</v>
      </c>
      <c r="I89" s="282" t="s">
        <v>26</v>
      </c>
      <c r="J89" s="283">
        <v>8944984.0899999999</v>
      </c>
      <c r="K89" s="284">
        <v>8944984.0899999999</v>
      </c>
      <c r="L89" s="643">
        <v>7.4999999999999997E-3</v>
      </c>
      <c r="M89" s="284">
        <f>2425758.4+151609.9+151609.9+151609.9+151609.9</f>
        <v>3032197.9999999995</v>
      </c>
      <c r="N89" s="284">
        <f>881276.03+25084.35+24380.12+23943.98+23373.89+22803.79</f>
        <v>1000862.16</v>
      </c>
      <c r="O89" s="286">
        <f t="shared" si="4"/>
        <v>5912786.0899999999</v>
      </c>
      <c r="P89" s="288" t="s">
        <v>111</v>
      </c>
      <c r="Q89" s="370" t="s">
        <v>428</v>
      </c>
      <c r="S89" s="2"/>
    </row>
    <row r="90" spans="1:19" ht="55.5" customHeight="1" outlineLevel="1" x14ac:dyDescent="0.25">
      <c r="A90" s="498">
        <v>52</v>
      </c>
      <c r="B90" s="566" t="s">
        <v>230</v>
      </c>
      <c r="C90" s="500" t="s">
        <v>156</v>
      </c>
      <c r="D90" s="500" t="s">
        <v>8</v>
      </c>
      <c r="E90" s="553"/>
      <c r="F90" s="616" t="s">
        <v>405</v>
      </c>
      <c r="G90" s="500" t="s">
        <v>202</v>
      </c>
      <c r="H90" s="282" t="s">
        <v>203</v>
      </c>
      <c r="I90" s="282" t="s">
        <v>26</v>
      </c>
      <c r="J90" s="283">
        <v>5217725</v>
      </c>
      <c r="K90" s="284">
        <v>5217725</v>
      </c>
      <c r="L90" s="643">
        <v>7.4999999999999997E-3</v>
      </c>
      <c r="M90" s="284">
        <f>782658.5+52177.25+52177.25+52177.25+52177.25</f>
        <v>991367.5</v>
      </c>
      <c r="N90" s="284">
        <f>538816.19+16480.36+16284.66+16088.46</f>
        <v>587669.66999999993</v>
      </c>
      <c r="O90" s="286">
        <f t="shared" si="4"/>
        <v>4226357.5</v>
      </c>
      <c r="P90" s="500" t="s">
        <v>111</v>
      </c>
      <c r="Q90" s="369" t="s">
        <v>428</v>
      </c>
      <c r="S90" s="2"/>
    </row>
    <row r="91" spans="1:19" ht="55.5" customHeight="1" outlineLevel="1" x14ac:dyDescent="0.25">
      <c r="A91" s="506"/>
      <c r="B91" s="567"/>
      <c r="C91" s="507"/>
      <c r="D91" s="507"/>
      <c r="E91" s="579"/>
      <c r="F91" s="616" t="s">
        <v>405</v>
      </c>
      <c r="G91" s="507"/>
      <c r="H91" s="282" t="s">
        <v>203</v>
      </c>
      <c r="I91" s="282" t="s">
        <v>51</v>
      </c>
      <c r="J91" s="283">
        <v>93025000</v>
      </c>
      <c r="K91" s="284">
        <v>93025000</v>
      </c>
      <c r="L91" s="643">
        <v>7.4999999999999997E-3</v>
      </c>
      <c r="M91" s="284">
        <f>13953750+930250+930250+930250+930250</f>
        <v>17674750</v>
      </c>
      <c r="N91" s="284">
        <f>9237334.28+296030+287830+287830</f>
        <v>10109024.279999999</v>
      </c>
      <c r="O91" s="286">
        <f t="shared" si="4"/>
        <v>75350250</v>
      </c>
      <c r="P91" s="507"/>
      <c r="Q91" s="644" t="s">
        <v>428</v>
      </c>
      <c r="S91" s="2"/>
    </row>
    <row r="92" spans="1:19" ht="81" outlineLevel="1" x14ac:dyDescent="0.25">
      <c r="A92" s="225">
        <v>53</v>
      </c>
      <c r="B92" s="499" t="s">
        <v>232</v>
      </c>
      <c r="C92" s="553" t="s">
        <v>156</v>
      </c>
      <c r="D92" s="553" t="s">
        <v>8</v>
      </c>
      <c r="E92" s="553"/>
      <c r="F92" s="616" t="s">
        <v>405</v>
      </c>
      <c r="G92" s="282" t="s">
        <v>204</v>
      </c>
      <c r="H92" s="282" t="s">
        <v>205</v>
      </c>
      <c r="I92" s="282" t="s">
        <v>26</v>
      </c>
      <c r="J92" s="283">
        <v>1989000</v>
      </c>
      <c r="K92" s="284">
        <v>1989000</v>
      </c>
      <c r="L92" s="643">
        <v>7.4999999999999997E-3</v>
      </c>
      <c r="M92" s="284">
        <f>337118.7+33711.86+33711.86+33711.86+33712</f>
        <v>471966.27999999997</v>
      </c>
      <c r="N92" s="284">
        <f>177150.18+6084.76+5957.99+5831.23</f>
        <v>195024.16</v>
      </c>
      <c r="O92" s="286">
        <f t="shared" si="4"/>
        <v>1517033.72</v>
      </c>
      <c r="P92" s="288" t="s">
        <v>111</v>
      </c>
      <c r="Q92" s="370" t="s">
        <v>428</v>
      </c>
      <c r="S92" s="2"/>
    </row>
    <row r="93" spans="1:19" ht="94.5" outlineLevel="1" x14ac:dyDescent="0.25">
      <c r="A93" s="225">
        <v>54</v>
      </c>
      <c r="B93" s="499" t="s">
        <v>383</v>
      </c>
      <c r="C93" s="553" t="s">
        <v>384</v>
      </c>
      <c r="D93" s="553" t="s">
        <v>8</v>
      </c>
      <c r="E93" s="553"/>
      <c r="F93" s="616" t="s">
        <v>405</v>
      </c>
      <c r="G93" s="553" t="s">
        <v>385</v>
      </c>
      <c r="H93" s="553" t="s">
        <v>386</v>
      </c>
      <c r="I93" s="282" t="s">
        <v>51</v>
      </c>
      <c r="J93" s="283">
        <v>2047212646</v>
      </c>
      <c r="K93" s="619">
        <v>2047212646</v>
      </c>
      <c r="L93" s="643">
        <v>0.02</v>
      </c>
      <c r="M93" s="284">
        <v>0</v>
      </c>
      <c r="N93" s="284">
        <f>88017538.4+20640391+20640391+20303862+20640391</f>
        <v>170242573.40000001</v>
      </c>
      <c r="O93" s="286">
        <f t="shared" si="4"/>
        <v>2047212646</v>
      </c>
      <c r="P93" s="288" t="s">
        <v>111</v>
      </c>
      <c r="Q93" s="370" t="s">
        <v>428</v>
      </c>
      <c r="S93" s="2"/>
    </row>
    <row r="94" spans="1:19" ht="144" customHeight="1" outlineLevel="1" x14ac:dyDescent="0.25">
      <c r="A94" s="575">
        <v>55</v>
      </c>
      <c r="B94" s="499" t="s">
        <v>225</v>
      </c>
      <c r="C94" s="553" t="s">
        <v>226</v>
      </c>
      <c r="D94" s="553" t="s">
        <v>106</v>
      </c>
      <c r="E94" s="553"/>
      <c r="F94" s="553" t="s">
        <v>405</v>
      </c>
      <c r="G94" s="553" t="s">
        <v>426</v>
      </c>
      <c r="H94" s="553" t="s">
        <v>227</v>
      </c>
      <c r="I94" s="282" t="s">
        <v>26</v>
      </c>
      <c r="J94" s="283">
        <v>2217000</v>
      </c>
      <c r="K94" s="283">
        <v>2217000</v>
      </c>
      <c r="L94" s="285">
        <v>0.02</v>
      </c>
      <c r="M94" s="284">
        <f>1656550.78+18166.04+7000680/387.28+18122.86+18122.86+32122.86+28837.1+8000+8000+8000+20000+20000+20000+20000+20000+19994.32+20000+20000+8000+8000</f>
        <v>1989993.3537740142</v>
      </c>
      <c r="N94" s="284">
        <f>133182.536922389+1443.51+1358.52+1365.7+1287.6+1303.23+1287.23</f>
        <v>141228.32692238904</v>
      </c>
      <c r="O94" s="286">
        <f t="shared" si="4"/>
        <v>227006.64622598584</v>
      </c>
      <c r="P94" s="288" t="s">
        <v>228</v>
      </c>
      <c r="Q94" s="370" t="s">
        <v>428</v>
      </c>
      <c r="S94" s="2"/>
    </row>
    <row r="95" spans="1:19" ht="128.25" customHeight="1" outlineLevel="1" x14ac:dyDescent="0.25">
      <c r="A95" s="225">
        <v>56</v>
      </c>
      <c r="B95" s="495" t="s">
        <v>387</v>
      </c>
      <c r="C95" s="282" t="s">
        <v>388</v>
      </c>
      <c r="D95" s="282" t="s">
        <v>52</v>
      </c>
      <c r="E95" s="282"/>
      <c r="F95" s="368" t="s">
        <v>430</v>
      </c>
      <c r="G95" s="282" t="s">
        <v>391</v>
      </c>
      <c r="H95" s="553" t="s">
        <v>398</v>
      </c>
      <c r="I95" s="282" t="s">
        <v>30</v>
      </c>
      <c r="J95" s="283">
        <f>4199559.68+12720691.2+1113060.48+1966688.64</f>
        <v>20000000</v>
      </c>
      <c r="K95" s="283">
        <f>J95</f>
        <v>20000000</v>
      </c>
      <c r="L95" s="285" t="s">
        <v>390</v>
      </c>
      <c r="M95" s="284"/>
      <c r="N95" s="645">
        <f>77849.88+103888.1+413918.01+520635+494848.41</f>
        <v>1611139.4</v>
      </c>
      <c r="O95" s="286">
        <f t="shared" si="4"/>
        <v>20000000</v>
      </c>
      <c r="P95" s="288" t="s">
        <v>392</v>
      </c>
      <c r="Q95" s="369" t="s">
        <v>428</v>
      </c>
      <c r="S95" s="2"/>
    </row>
    <row r="96" spans="1:19" s="6" customFormat="1" ht="59.25" customHeight="1" outlineLevel="1" x14ac:dyDescent="0.25">
      <c r="A96" s="575"/>
      <c r="B96" s="499" t="s">
        <v>474</v>
      </c>
      <c r="C96" s="553"/>
      <c r="D96" s="282" t="s">
        <v>414</v>
      </c>
      <c r="E96" s="282" t="s">
        <v>479</v>
      </c>
      <c r="F96" s="368" t="s">
        <v>405</v>
      </c>
      <c r="G96" s="282" t="s">
        <v>479</v>
      </c>
      <c r="H96" s="282" t="s">
        <v>484</v>
      </c>
      <c r="I96" s="282" t="s">
        <v>51</v>
      </c>
      <c r="J96" s="284">
        <v>250000000</v>
      </c>
      <c r="K96" s="284">
        <v>250000000</v>
      </c>
      <c r="L96" s="505"/>
      <c r="M96" s="619"/>
      <c r="N96" s="619"/>
      <c r="O96" s="585"/>
      <c r="P96" s="288"/>
      <c r="Q96" s="369" t="s">
        <v>433</v>
      </c>
      <c r="R96" s="5"/>
      <c r="S96" s="2"/>
    </row>
    <row r="97" spans="1:19" s="215" customFormat="1" ht="38.25" customHeight="1" outlineLevel="1" x14ac:dyDescent="0.25">
      <c r="A97" s="498">
        <v>57</v>
      </c>
      <c r="B97" s="566" t="s">
        <v>206</v>
      </c>
      <c r="C97" s="500" t="s">
        <v>164</v>
      </c>
      <c r="D97" s="500"/>
      <c r="E97" s="579"/>
      <c r="F97" s="646"/>
      <c r="G97" s="555" t="s">
        <v>207</v>
      </c>
      <c r="H97" s="555" t="s">
        <v>208</v>
      </c>
      <c r="I97" s="503" t="s">
        <v>26</v>
      </c>
      <c r="J97" s="516">
        <v>237758.39</v>
      </c>
      <c r="K97" s="284">
        <v>237758.39</v>
      </c>
      <c r="L97" s="565"/>
      <c r="M97" s="284"/>
      <c r="N97" s="284"/>
      <c r="O97" s="516">
        <f t="shared" si="4"/>
        <v>237758.39</v>
      </c>
      <c r="P97" s="500" t="s">
        <v>111</v>
      </c>
      <c r="Q97" s="369" t="s">
        <v>428</v>
      </c>
      <c r="R97" s="214"/>
      <c r="S97" s="2"/>
    </row>
    <row r="98" spans="1:19" s="215" customFormat="1" ht="45" customHeight="1" outlineLevel="1" x14ac:dyDescent="0.25">
      <c r="A98" s="506"/>
      <c r="B98" s="567"/>
      <c r="C98" s="507"/>
      <c r="D98" s="507"/>
      <c r="E98" s="367"/>
      <c r="F98" s="367"/>
      <c r="G98" s="557"/>
      <c r="H98" s="557"/>
      <c r="I98" s="618" t="s">
        <v>51</v>
      </c>
      <c r="J98" s="647">
        <v>28883700</v>
      </c>
      <c r="K98" s="284">
        <v>28883700</v>
      </c>
      <c r="L98" s="505"/>
      <c r="M98" s="284"/>
      <c r="N98" s="284"/>
      <c r="O98" s="516">
        <f t="shared" si="4"/>
        <v>28883700</v>
      </c>
      <c r="P98" s="507"/>
      <c r="Q98" s="518" t="s">
        <v>428</v>
      </c>
      <c r="R98" s="214"/>
      <c r="S98" s="2"/>
    </row>
    <row r="99" spans="1:19" s="6" customFormat="1" ht="59.25" customHeight="1" outlineLevel="1" x14ac:dyDescent="0.25">
      <c r="A99" s="575">
        <v>58</v>
      </c>
      <c r="B99" s="499" t="s">
        <v>175</v>
      </c>
      <c r="C99" s="553" t="s">
        <v>151</v>
      </c>
      <c r="D99" s="282" t="s">
        <v>414</v>
      </c>
      <c r="E99" s="282"/>
      <c r="F99" s="368"/>
      <c r="G99" s="282" t="s">
        <v>104</v>
      </c>
      <c r="H99" s="282" t="s">
        <v>105</v>
      </c>
      <c r="I99" s="282" t="s">
        <v>51</v>
      </c>
      <c r="J99" s="284">
        <v>303444194</v>
      </c>
      <c r="K99" s="619">
        <v>303444194</v>
      </c>
      <c r="L99" s="505"/>
      <c r="M99" s="619"/>
      <c r="N99" s="619"/>
      <c r="O99" s="585">
        <f t="shared" si="4"/>
        <v>303444194</v>
      </c>
      <c r="P99" s="288" t="s">
        <v>111</v>
      </c>
      <c r="Q99" s="369" t="s">
        <v>483</v>
      </c>
      <c r="R99" s="5"/>
      <c r="S99" s="2"/>
    </row>
    <row r="100" spans="1:19" s="2" customFormat="1" ht="54.75" customHeight="1" outlineLevel="1" x14ac:dyDescent="0.25">
      <c r="A100" s="575"/>
      <c r="B100" s="499" t="s">
        <v>464</v>
      </c>
      <c r="C100" s="553" t="s">
        <v>151</v>
      </c>
      <c r="D100" s="282" t="s">
        <v>414</v>
      </c>
      <c r="E100" s="282"/>
      <c r="F100" s="368"/>
      <c r="G100" s="282" t="s">
        <v>466</v>
      </c>
      <c r="H100" s="282" t="s">
        <v>465</v>
      </c>
      <c r="I100" s="503" t="s">
        <v>51</v>
      </c>
      <c r="J100" s="284">
        <v>29938264</v>
      </c>
      <c r="K100" s="284">
        <v>29938264</v>
      </c>
      <c r="L100" s="556"/>
      <c r="M100" s="284">
        <f>9000000+1000000+1000000+800000+200000+1000000</f>
        <v>13000000</v>
      </c>
      <c r="N100" s="284"/>
      <c r="O100" s="585">
        <f t="shared" si="4"/>
        <v>16938264</v>
      </c>
      <c r="P100" s="288" t="s">
        <v>111</v>
      </c>
      <c r="Q100" s="518" t="s">
        <v>428</v>
      </c>
      <c r="R100" s="10"/>
    </row>
    <row r="101" spans="1:19" s="2" customFormat="1" ht="88.5" customHeight="1" outlineLevel="1" x14ac:dyDescent="0.25">
      <c r="A101" s="575"/>
      <c r="B101" s="499" t="s">
        <v>467</v>
      </c>
      <c r="C101" s="553" t="s">
        <v>468</v>
      </c>
      <c r="D101" s="282" t="s">
        <v>414</v>
      </c>
      <c r="E101" s="282"/>
      <c r="F101" s="368" t="s">
        <v>405</v>
      </c>
      <c r="G101" s="282" t="s">
        <v>480</v>
      </c>
      <c r="H101" s="282" t="s">
        <v>481</v>
      </c>
      <c r="I101" s="503" t="s">
        <v>51</v>
      </c>
      <c r="J101" s="284">
        <v>1343651100</v>
      </c>
      <c r="K101" s="284">
        <v>1343651100</v>
      </c>
      <c r="L101" s="556">
        <v>7.2499999999999995E-2</v>
      </c>
      <c r="M101" s="284"/>
      <c r="N101" s="284"/>
      <c r="O101" s="585">
        <f t="shared" si="4"/>
        <v>1343651100</v>
      </c>
      <c r="P101" s="288" t="s">
        <v>111</v>
      </c>
      <c r="Q101" s="518" t="s">
        <v>433</v>
      </c>
      <c r="R101" s="10"/>
    </row>
    <row r="102" spans="1:19" ht="82.5" customHeight="1" x14ac:dyDescent="0.25">
      <c r="A102" s="225">
        <v>59</v>
      </c>
      <c r="B102" s="495" t="s">
        <v>404</v>
      </c>
      <c r="C102" s="282" t="s">
        <v>405</v>
      </c>
      <c r="D102" s="282" t="s">
        <v>414</v>
      </c>
      <c r="E102" s="282"/>
      <c r="F102" s="282" t="s">
        <v>405</v>
      </c>
      <c r="G102" s="282" t="s">
        <v>406</v>
      </c>
      <c r="H102" s="282" t="s">
        <v>407</v>
      </c>
      <c r="I102" s="282" t="s">
        <v>51</v>
      </c>
      <c r="J102" s="284">
        <v>1600000000</v>
      </c>
      <c r="K102" s="497">
        <v>1600000000</v>
      </c>
      <c r="L102" s="514">
        <v>0.06</v>
      </c>
      <c r="M102" s="497">
        <f>16666667+16666667</f>
        <v>33333334</v>
      </c>
      <c r="N102" s="497">
        <f>14728767+7827397</f>
        <v>22556164</v>
      </c>
      <c r="O102" s="516">
        <f t="shared" si="4"/>
        <v>1566666666</v>
      </c>
      <c r="P102" s="282" t="s">
        <v>408</v>
      </c>
      <c r="Q102" s="369" t="s">
        <v>433</v>
      </c>
      <c r="S102" s="2"/>
    </row>
    <row r="103" spans="1:19" ht="155.25" customHeight="1" x14ac:dyDescent="0.25">
      <c r="A103" s="511">
        <v>60</v>
      </c>
      <c r="B103" s="512" t="s">
        <v>422</v>
      </c>
      <c r="C103" s="282" t="s">
        <v>405</v>
      </c>
      <c r="D103" s="282" t="s">
        <v>414</v>
      </c>
      <c r="E103" s="282"/>
      <c r="F103" s="513" t="s">
        <v>405</v>
      </c>
      <c r="G103" s="367" t="s">
        <v>486</v>
      </c>
      <c r="H103" s="282" t="s">
        <v>423</v>
      </c>
      <c r="I103" s="282" t="s">
        <v>51</v>
      </c>
      <c r="J103" s="287">
        <v>3500000000</v>
      </c>
      <c r="K103" s="287">
        <v>3500000000</v>
      </c>
      <c r="L103" s="514">
        <v>0.08</v>
      </c>
      <c r="M103" s="515"/>
      <c r="N103" s="515"/>
      <c r="O103" s="516">
        <f t="shared" si="4"/>
        <v>3500000000</v>
      </c>
      <c r="P103" s="517" t="s">
        <v>424</v>
      </c>
      <c r="Q103" s="518" t="s">
        <v>428</v>
      </c>
      <c r="S103" s="2"/>
    </row>
    <row r="104" spans="1:19" s="6" customFormat="1" ht="47.25" customHeight="1" outlineLevel="1" x14ac:dyDescent="0.25">
      <c r="A104" s="511">
        <v>61</v>
      </c>
      <c r="B104" s="367" t="s">
        <v>425</v>
      </c>
      <c r="C104" s="367" t="s">
        <v>405</v>
      </c>
      <c r="D104" s="367" t="s">
        <v>414</v>
      </c>
      <c r="E104" s="367"/>
      <c r="F104" s="513" t="s">
        <v>405</v>
      </c>
      <c r="G104" s="519" t="s">
        <v>410</v>
      </c>
      <c r="H104" s="367" t="s">
        <v>242</v>
      </c>
      <c r="I104" s="367" t="s">
        <v>51</v>
      </c>
      <c r="J104" s="287">
        <v>2000000000</v>
      </c>
      <c r="K104" s="287">
        <v>2000000000</v>
      </c>
      <c r="L104" s="520">
        <v>1E-4</v>
      </c>
      <c r="M104" s="287">
        <f>122220000+82500000+82500000</f>
        <v>287220000</v>
      </c>
      <c r="N104" s="287">
        <f>175890.410958904+56590.6+7869.7</f>
        <v>240350.710958904</v>
      </c>
      <c r="O104" s="521">
        <f t="shared" si="4"/>
        <v>1712780000</v>
      </c>
      <c r="P104" s="517" t="s">
        <v>411</v>
      </c>
      <c r="Q104" s="518" t="s">
        <v>428</v>
      </c>
      <c r="R104" s="5"/>
      <c r="S104" s="2"/>
    </row>
    <row r="105" spans="1:19" s="6" customFormat="1" ht="47.25" customHeight="1" outlineLevel="1" x14ac:dyDescent="0.25">
      <c r="A105" s="511">
        <v>62</v>
      </c>
      <c r="B105" s="367" t="s">
        <v>149</v>
      </c>
      <c r="C105" s="367" t="s">
        <v>150</v>
      </c>
      <c r="D105" s="367" t="s">
        <v>418</v>
      </c>
      <c r="E105" s="367"/>
      <c r="F105" s="513" t="s">
        <v>405</v>
      </c>
      <c r="G105" s="519" t="s">
        <v>217</v>
      </c>
      <c r="H105" s="367" t="s">
        <v>331</v>
      </c>
      <c r="I105" s="367" t="s">
        <v>26</v>
      </c>
      <c r="J105" s="287">
        <v>10000000</v>
      </c>
      <c r="K105" s="287">
        <v>10000000</v>
      </c>
      <c r="L105" s="520" t="s">
        <v>333</v>
      </c>
      <c r="M105" s="287">
        <f>2553676.86+827369</f>
        <v>3381045.86</v>
      </c>
      <c r="N105" s="287">
        <f>3533579.15874841+18816925/512.41+16022937.4/426.85+37537.63+37130+36723+37538+'[2]15,08,20 գործող'!$I$55+'[2]15,08,20 գործող'!$I$56+121181+150151+150151+148518.45</f>
        <v>4401844.9204706866</v>
      </c>
      <c r="O105" s="521">
        <f>K105-M105</f>
        <v>6618954.1400000006</v>
      </c>
      <c r="P105" s="517" t="s">
        <v>303</v>
      </c>
      <c r="Q105" s="518" t="s">
        <v>428</v>
      </c>
      <c r="R105" s="5"/>
      <c r="S105" s="2"/>
    </row>
    <row r="106" spans="1:19" s="6" customFormat="1" ht="51" customHeight="1" outlineLevel="1" thickBot="1" x14ac:dyDescent="0.3">
      <c r="A106" s="225">
        <v>63</v>
      </c>
      <c r="B106" s="282" t="s">
        <v>149</v>
      </c>
      <c r="C106" s="522" t="s">
        <v>434</v>
      </c>
      <c r="D106" s="522" t="s">
        <v>418</v>
      </c>
      <c r="E106" s="522"/>
      <c r="F106" s="523" t="s">
        <v>405</v>
      </c>
      <c r="G106" s="524" t="s">
        <v>209</v>
      </c>
      <c r="H106" s="522" t="s">
        <v>302</v>
      </c>
      <c r="I106" s="522" t="s">
        <v>51</v>
      </c>
      <c r="J106" s="284">
        <v>8000000000</v>
      </c>
      <c r="K106" s="284">
        <v>8000000000</v>
      </c>
      <c r="L106" s="290" t="s">
        <v>332</v>
      </c>
      <c r="M106" s="284"/>
      <c r="N106" s="284">
        <f>3496438357+79342466+80657534+79342466+79342466+1315069+216021918+419419179</f>
        <v>4451879455</v>
      </c>
      <c r="O106" s="286">
        <f>K106-M106</f>
        <v>8000000000</v>
      </c>
      <c r="P106" s="291" t="s">
        <v>301</v>
      </c>
      <c r="Q106" s="369" t="s">
        <v>428</v>
      </c>
      <c r="R106" s="5"/>
      <c r="S106" s="2"/>
    </row>
    <row r="107" spans="1:19" s="594" customFormat="1" ht="24.75" customHeight="1" x14ac:dyDescent="0.25">
      <c r="A107" s="587" t="s">
        <v>161</v>
      </c>
      <c r="B107" s="588"/>
      <c r="C107" s="589"/>
      <c r="F107" s="639"/>
      <c r="G107" s="639"/>
      <c r="H107" s="639"/>
      <c r="I107" s="639" t="s">
        <v>30</v>
      </c>
      <c r="J107" s="625">
        <f>SUMIF($I$77:$I$106,I107,$J$77:$J$106)</f>
        <v>41500000</v>
      </c>
      <c r="K107" s="625">
        <f>SUMIF($I$77:$I$106,I107,$K$77:$K$106)</f>
        <v>23272189.77</v>
      </c>
      <c r="L107" s="625"/>
      <c r="M107" s="625">
        <f>SUMIF($I$77:$I$106,I107,$M$77:$M$106)</f>
        <v>36360.221703756208</v>
      </c>
      <c r="N107" s="625">
        <f>SUMIF($I$77:$I$106,I107,$N$77:$N$106)</f>
        <v>1819326.2698881822</v>
      </c>
      <c r="O107" s="625">
        <f>SUMIF($I$77:$I$106,I107,$O$77:$O$106)</f>
        <v>23235829.548296243</v>
      </c>
      <c r="P107" s="592"/>
      <c r="Q107" s="593"/>
      <c r="R107" s="10"/>
      <c r="S107" s="2"/>
    </row>
    <row r="108" spans="1:19" s="594" customFormat="1" ht="39" customHeight="1" x14ac:dyDescent="0.25">
      <c r="A108" s="595"/>
      <c r="B108" s="596"/>
      <c r="C108" s="597"/>
      <c r="D108" s="562"/>
      <c r="E108" s="562"/>
      <c r="F108" s="598"/>
      <c r="G108" s="598"/>
      <c r="H108" s="598"/>
      <c r="I108" s="598" t="s">
        <v>51</v>
      </c>
      <c r="J108" s="599">
        <f>SUMIF($I$77:$I$106,I108,$J$77:$J$106)</f>
        <v>21824577872.200001</v>
      </c>
      <c r="K108" s="599">
        <f>SUMIF($I$77:$I$106,I108,$K$77:$K$106)</f>
        <v>21951536188</v>
      </c>
      <c r="L108" s="599"/>
      <c r="M108" s="599">
        <f>SUMIF($I$77:$I$106,I108,$M$77:$M$106)</f>
        <v>482840976.89999998</v>
      </c>
      <c r="N108" s="599">
        <f>SUMIF($I$77:$I$106,I108,$N$77:$N$106)</f>
        <v>4687146801.8909588</v>
      </c>
      <c r="O108" s="599">
        <f>SUMIF($I$77:$I$106,I108,$O$77:$O$106)</f>
        <v>21218695211.099998</v>
      </c>
      <c r="P108" s="600"/>
      <c r="Q108" s="601"/>
      <c r="R108" s="10"/>
      <c r="S108" s="2"/>
    </row>
    <row r="109" spans="1:19" s="594" customFormat="1" ht="39" customHeight="1" x14ac:dyDescent="0.25">
      <c r="A109" s="595"/>
      <c r="B109" s="596"/>
      <c r="C109" s="597"/>
      <c r="D109" s="562"/>
      <c r="E109" s="562"/>
      <c r="F109" s="598"/>
      <c r="G109" s="598"/>
      <c r="H109" s="598"/>
      <c r="I109" s="598" t="s">
        <v>26</v>
      </c>
      <c r="J109" s="599">
        <f>SUMIF($I$77:$I$106,I109,$J$77:$J$106)</f>
        <v>32967799.48</v>
      </c>
      <c r="K109" s="599">
        <f>SUMIF($I$77:$I$106,I109,$K$77:$K$106)</f>
        <v>30293150.079999998</v>
      </c>
      <c r="L109" s="599"/>
      <c r="M109" s="599">
        <f>SUMIF($I$77:$I$106,I109,$M$77:$M$106)</f>
        <v>10852060.419940032</v>
      </c>
      <c r="N109" s="599">
        <f>SUMIF($I$77:$I$106,I109,$N$77:$N$106)</f>
        <v>6755217.938366808</v>
      </c>
      <c r="O109" s="599">
        <f>SUMIF($I$77:$I$106,I109,$O$77:$O$106)</f>
        <v>19441089.660059966</v>
      </c>
      <c r="P109" s="600"/>
      <c r="Q109" s="601"/>
      <c r="R109" s="10"/>
      <c r="S109" s="2"/>
    </row>
    <row r="110" spans="1:19" s="594" customFormat="1" ht="39" customHeight="1" thickBot="1" x14ac:dyDescent="0.3">
      <c r="A110" s="606"/>
      <c r="B110" s="607"/>
      <c r="C110" s="608"/>
      <c r="D110" s="562"/>
      <c r="E110" s="562"/>
      <c r="F110" s="598"/>
      <c r="G110" s="598"/>
      <c r="H110" s="598"/>
      <c r="I110" s="609" t="s">
        <v>18</v>
      </c>
      <c r="J110" s="613">
        <f>SUMIF($I$77:$I$106,I110,$J$77:$J$106)</f>
        <v>0</v>
      </c>
      <c r="K110" s="613">
        <f>SUMIF($I$77:$I$106,I110,$K$77:$K$106)</f>
        <v>0</v>
      </c>
      <c r="L110" s="613"/>
      <c r="M110" s="613">
        <f>SUMIF($I$77:$I$106,I110,$M$77:$M$106)</f>
        <v>0</v>
      </c>
      <c r="N110" s="613">
        <f>SUMIF($I$77:$I$106,I110,$N$77:$N$106)</f>
        <v>0</v>
      </c>
      <c r="O110" s="613">
        <f>SUMIF($I$77:$I$106,I110,$O$77:$O$106)</f>
        <v>0</v>
      </c>
      <c r="P110" s="614"/>
      <c r="Q110" s="615"/>
      <c r="R110" s="10"/>
      <c r="S110" s="2"/>
    </row>
    <row r="111" spans="1:19" s="215" customFormat="1" ht="156.75" customHeight="1" outlineLevel="1" x14ac:dyDescent="0.25">
      <c r="A111" s="225">
        <v>64</v>
      </c>
      <c r="B111" s="553" t="s">
        <v>325</v>
      </c>
      <c r="C111" s="553" t="s">
        <v>267</v>
      </c>
      <c r="D111" s="579" t="s">
        <v>414</v>
      </c>
      <c r="E111" s="579"/>
      <c r="F111" s="646"/>
      <c r="G111" s="646" t="s">
        <v>335</v>
      </c>
      <c r="H111" s="646" t="s">
        <v>348</v>
      </c>
      <c r="I111" s="282" t="s">
        <v>51</v>
      </c>
      <c r="J111" s="647">
        <f>3047000000+3000000000</f>
        <v>6047000000</v>
      </c>
      <c r="K111" s="497">
        <v>6000000000</v>
      </c>
      <c r="L111" s="505"/>
      <c r="M111" s="497">
        <f>4439902959+260956717.5+995441267.7+73262192.2+103703140+88648827.6+23704487.9+9999937.1+167000+1814495.5+405741.8+291594+193389.5+167000</f>
        <v>5998658749.8000002</v>
      </c>
      <c r="N111" s="497"/>
      <c r="O111" s="619">
        <f t="shared" ref="O111:O116" si="5">K111-M111</f>
        <v>1341250.1999998093</v>
      </c>
      <c r="P111" s="648" t="s">
        <v>111</v>
      </c>
      <c r="Q111" s="649" t="s">
        <v>433</v>
      </c>
      <c r="R111" s="214"/>
      <c r="S111" s="2"/>
    </row>
    <row r="112" spans="1:19" s="215" customFormat="1" ht="147" customHeight="1" outlineLevel="1" x14ac:dyDescent="0.25">
      <c r="A112" s="225">
        <v>65</v>
      </c>
      <c r="B112" s="553" t="s">
        <v>325</v>
      </c>
      <c r="C112" s="500" t="s">
        <v>321</v>
      </c>
      <c r="D112" s="553" t="s">
        <v>414</v>
      </c>
      <c r="E112" s="553"/>
      <c r="F112" s="616"/>
      <c r="G112" s="616" t="s">
        <v>421</v>
      </c>
      <c r="H112" s="616" t="s">
        <v>323</v>
      </c>
      <c r="I112" s="282" t="s">
        <v>51</v>
      </c>
      <c r="J112" s="284">
        <v>2000000000</v>
      </c>
      <c r="K112" s="497">
        <v>2000000000</v>
      </c>
      <c r="L112" s="565">
        <v>2.7E-2</v>
      </c>
      <c r="M112" s="497"/>
      <c r="N112" s="286">
        <f>68417269.8+13462993.2+49643.9+1421840.5+38566246.5+491534.9+1119195.4+178355+29883.2+10588.6+3022.3</f>
        <v>123750573.30000001</v>
      </c>
      <c r="O112" s="286">
        <f t="shared" si="5"/>
        <v>2000000000</v>
      </c>
      <c r="P112" s="648" t="s">
        <v>111</v>
      </c>
      <c r="Q112" s="650" t="s">
        <v>433</v>
      </c>
      <c r="R112" s="214"/>
      <c r="S112" s="2"/>
    </row>
    <row r="113" spans="1:19" s="215" customFormat="1" ht="144.75" customHeight="1" outlineLevel="1" x14ac:dyDescent="0.25">
      <c r="A113" s="225">
        <v>66</v>
      </c>
      <c r="B113" s="553" t="s">
        <v>325</v>
      </c>
      <c r="C113" s="560"/>
      <c r="D113" s="550" t="s">
        <v>414</v>
      </c>
      <c r="E113" s="550"/>
      <c r="F113" s="368"/>
      <c r="G113" s="616" t="s">
        <v>420</v>
      </c>
      <c r="H113" s="616" t="s">
        <v>324</v>
      </c>
      <c r="I113" s="367" t="s">
        <v>51</v>
      </c>
      <c r="J113" s="284">
        <v>2000000000</v>
      </c>
      <c r="K113" s="497">
        <v>2000000000</v>
      </c>
      <c r="L113" s="651">
        <v>5.7000000000000002E-2</v>
      </c>
      <c r="M113" s="497"/>
      <c r="N113" s="497">
        <f>153819379.6+28421448.8+780809.1+528470.5+2614769.3+283790.1+5159868.8+1406739.9</f>
        <v>193015276.10000002</v>
      </c>
      <c r="O113" s="286">
        <f t="shared" si="5"/>
        <v>2000000000</v>
      </c>
      <c r="P113" s="648" t="s">
        <v>111</v>
      </c>
      <c r="Q113" s="650" t="s">
        <v>433</v>
      </c>
      <c r="R113" s="214"/>
      <c r="S113" s="2"/>
    </row>
    <row r="114" spans="1:19" s="215" customFormat="1" ht="168" customHeight="1" outlineLevel="1" x14ac:dyDescent="0.25">
      <c r="A114" s="225">
        <v>67</v>
      </c>
      <c r="B114" s="548" t="s">
        <v>325</v>
      </c>
      <c r="C114" s="507"/>
      <c r="D114" s="517"/>
      <c r="E114" s="517"/>
      <c r="F114" s="652"/>
      <c r="G114" s="368" t="s">
        <v>419</v>
      </c>
      <c r="H114" s="368" t="s">
        <v>353</v>
      </c>
      <c r="I114" s="367" t="s">
        <v>51</v>
      </c>
      <c r="J114" s="284">
        <v>5000000000</v>
      </c>
      <c r="K114" s="497">
        <v>5000000000</v>
      </c>
      <c r="L114" s="565">
        <v>2.7E-2</v>
      </c>
      <c r="M114" s="497"/>
      <c r="N114" s="497">
        <f>34209157.5+76580313.4+83507353.3+1840160.7</f>
        <v>196136984.89999998</v>
      </c>
      <c r="O114" s="286">
        <f t="shared" si="5"/>
        <v>5000000000</v>
      </c>
      <c r="P114" s="627" t="s">
        <v>111</v>
      </c>
      <c r="Q114" s="628" t="s">
        <v>433</v>
      </c>
      <c r="R114" s="214"/>
      <c r="S114" s="2"/>
    </row>
    <row r="115" spans="1:19" s="215" customFormat="1" ht="162" outlineLevel="1" x14ac:dyDescent="0.25">
      <c r="A115" s="511">
        <v>68</v>
      </c>
      <c r="B115" s="579" t="s">
        <v>272</v>
      </c>
      <c r="C115" s="579" t="s">
        <v>273</v>
      </c>
      <c r="D115" s="579" t="s">
        <v>414</v>
      </c>
      <c r="E115" s="579"/>
      <c r="F115" s="646"/>
      <c r="G115" s="646" t="s">
        <v>328</v>
      </c>
      <c r="H115" s="646" t="s">
        <v>327</v>
      </c>
      <c r="I115" s="367" t="s">
        <v>51</v>
      </c>
      <c r="J115" s="287">
        <v>562500000</v>
      </c>
      <c r="K115" s="515">
        <v>562500000</v>
      </c>
      <c r="L115" s="651"/>
      <c r="M115" s="515"/>
      <c r="N115" s="515"/>
      <c r="O115" s="578">
        <f t="shared" si="5"/>
        <v>562500000</v>
      </c>
      <c r="P115" s="653" t="s">
        <v>111</v>
      </c>
      <c r="Q115" s="649" t="s">
        <v>433</v>
      </c>
      <c r="R115" s="214"/>
      <c r="S115" s="2"/>
    </row>
    <row r="116" spans="1:19" s="215" customFormat="1" ht="95.25" outlineLevel="1" thickBot="1" x14ac:dyDescent="0.3">
      <c r="A116" s="630">
        <v>69</v>
      </c>
      <c r="B116" s="522" t="s">
        <v>272</v>
      </c>
      <c r="C116" s="522" t="s">
        <v>326</v>
      </c>
      <c r="D116" s="522" t="s">
        <v>414</v>
      </c>
      <c r="E116" s="522"/>
      <c r="F116" s="523"/>
      <c r="G116" s="523"/>
      <c r="H116" s="523" t="s">
        <v>401</v>
      </c>
      <c r="I116" s="522" t="s">
        <v>51</v>
      </c>
      <c r="J116" s="634">
        <f>2000000000+7300000000</f>
        <v>9300000000</v>
      </c>
      <c r="K116" s="654">
        <f>9024295000</f>
        <v>9024295000</v>
      </c>
      <c r="L116" s="655"/>
      <c r="M116" s="654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+3005301+408727.2+3440908.5+14162695+98148+291594+205919+250000+77038</f>
        <v>8840805713.5000076</v>
      </c>
      <c r="N116" s="654">
        <f>34040214.6+16030636.8+1797857.1+7375602.5+3983531.1+11814600.3+22459610.6+9668538.8+11671711.4+6908264.6+1329981.6</f>
        <v>127080549.39999999</v>
      </c>
      <c r="O116" s="635">
        <f t="shared" si="5"/>
        <v>183489286.49999237</v>
      </c>
      <c r="P116" s="636" t="s">
        <v>111</v>
      </c>
      <c r="Q116" s="637" t="s">
        <v>433</v>
      </c>
      <c r="R116" s="214"/>
      <c r="S116" s="2"/>
    </row>
    <row r="117" spans="1:19" s="594" customFormat="1" ht="30" customHeight="1" x14ac:dyDescent="0.25">
      <c r="A117" s="587" t="s">
        <v>351</v>
      </c>
      <c r="B117" s="588"/>
      <c r="C117" s="589"/>
      <c r="D117" s="638"/>
      <c r="E117" s="638"/>
      <c r="F117" s="639"/>
      <c r="G117" s="639"/>
      <c r="H117" s="639"/>
      <c r="I117" s="656" t="s">
        <v>30</v>
      </c>
      <c r="J117" s="640">
        <f>SUMIF($I$111:$I$116,I117,$J$111:$J$116)</f>
        <v>0</v>
      </c>
      <c r="K117" s="640">
        <f>SUMIF($I$111:$I$116,I117,$K$111:$K$116)</f>
        <v>0</v>
      </c>
      <c r="L117" s="640"/>
      <c r="M117" s="640">
        <f>SUMIF($I$111:$I$116,I117,$M$111:$M$116)</f>
        <v>0</v>
      </c>
      <c r="N117" s="640">
        <f>SUMIF($I$111:$I$116,I117,$N$111:$N$116)</f>
        <v>0</v>
      </c>
      <c r="O117" s="640">
        <f>SUMIF($I$111:$I$116,I117,$O$111:$O$116)</f>
        <v>0</v>
      </c>
      <c r="P117" s="641"/>
      <c r="Q117" s="593"/>
      <c r="R117" s="214"/>
      <c r="S117" s="2"/>
    </row>
    <row r="118" spans="1:19" s="594" customFormat="1" ht="27" customHeight="1" x14ac:dyDescent="0.25">
      <c r="A118" s="595"/>
      <c r="B118" s="596"/>
      <c r="C118" s="597"/>
      <c r="D118" s="562"/>
      <c r="E118" s="562"/>
      <c r="F118" s="598"/>
      <c r="G118" s="598"/>
      <c r="H118" s="598"/>
      <c r="I118" s="657" t="s">
        <v>51</v>
      </c>
      <c r="J118" s="640">
        <f>SUMIF($I$111:$I$116,I118,$J$111:$J$116)</f>
        <v>24909500000</v>
      </c>
      <c r="K118" s="599">
        <f>SUMIF($I$111:$I$116,I118,$K$111:$K$116)</f>
        <v>24586795000</v>
      </c>
      <c r="L118" s="599"/>
      <c r="M118" s="599">
        <f>SUMIF($I$111:$I$116,I118,$M$111:$M$116)</f>
        <v>14839464463.300007</v>
      </c>
      <c r="N118" s="599">
        <f>SUMIF($I$111:$I$116,I118,$N$111:$N$116)</f>
        <v>639983383.70000005</v>
      </c>
      <c r="O118" s="599">
        <f>SUMIF($I$111:$I$116,I118,$O$111:$O$116)</f>
        <v>9747330536.6999931</v>
      </c>
      <c r="P118" s="600"/>
      <c r="Q118" s="601"/>
      <c r="R118" s="214"/>
      <c r="S118" s="2"/>
    </row>
    <row r="119" spans="1:19" s="594" customFormat="1" ht="28.5" customHeight="1" x14ac:dyDescent="0.25">
      <c r="A119" s="595"/>
      <c r="B119" s="596"/>
      <c r="C119" s="597"/>
      <c r="D119" s="562"/>
      <c r="E119" s="562"/>
      <c r="F119" s="598"/>
      <c r="G119" s="598"/>
      <c r="H119" s="598"/>
      <c r="I119" s="657" t="s">
        <v>26</v>
      </c>
      <c r="J119" s="640">
        <f>SUMIF($I$111:$I$116,I119,$J$111:$J$116)</f>
        <v>0</v>
      </c>
      <c r="K119" s="599">
        <f>SUMIF($I$111:$I$116,I119,$K$111:$K$116)</f>
        <v>0</v>
      </c>
      <c r="L119" s="599"/>
      <c r="M119" s="599">
        <f>SUMIF($I$111:$I$116,I119,$M$111:$M$116)</f>
        <v>0</v>
      </c>
      <c r="N119" s="599">
        <f>SUMIF($I$111:$I$116,I119,$N$111:$N$116)</f>
        <v>0</v>
      </c>
      <c r="O119" s="599">
        <f>SUMIF($I$111:$I$116,I119,$O$111:$O$116)</f>
        <v>0</v>
      </c>
      <c r="P119" s="600"/>
      <c r="Q119" s="601"/>
      <c r="R119" s="10"/>
      <c r="S119" s="2"/>
    </row>
    <row r="120" spans="1:19" s="594" customFormat="1" ht="30" customHeight="1" thickBot="1" x14ac:dyDescent="0.3">
      <c r="A120" s="606"/>
      <c r="B120" s="607"/>
      <c r="C120" s="608"/>
      <c r="D120" s="626"/>
      <c r="E120" s="626"/>
      <c r="F120" s="609"/>
      <c r="G120" s="609"/>
      <c r="H120" s="609"/>
      <c r="I120" s="612" t="s">
        <v>18</v>
      </c>
      <c r="J120" s="613">
        <f>SUMIF($I$111:$I$116,I120,$J$111:$J$116)</f>
        <v>0</v>
      </c>
      <c r="K120" s="613">
        <f>SUMIF($I$111:$I$116,I120,$K$111:$K$116)</f>
        <v>0</v>
      </c>
      <c r="L120" s="613"/>
      <c r="M120" s="613">
        <f>SUMIF($I$111:$I$116,I120,$M$111:$M$116)</f>
        <v>0</v>
      </c>
      <c r="N120" s="613">
        <f>SUMIF($I$111:$I$116,I120,$N$111:$N$116)</f>
        <v>0</v>
      </c>
      <c r="O120" s="613">
        <f>SUMIF($I$111:$I$116,I120,$O$111:$O$116)</f>
        <v>0</v>
      </c>
      <c r="P120" s="614"/>
      <c r="Q120" s="615"/>
      <c r="R120" s="10"/>
      <c r="S120" s="2"/>
    </row>
    <row r="121" spans="1:19" s="215" customFormat="1" ht="121.5" outlineLevel="1" x14ac:dyDescent="0.25">
      <c r="A121" s="511">
        <v>70</v>
      </c>
      <c r="B121" s="658" t="s">
        <v>246</v>
      </c>
      <c r="C121" s="658" t="s">
        <v>244</v>
      </c>
      <c r="D121" s="579" t="s">
        <v>414</v>
      </c>
      <c r="E121" s="579"/>
      <c r="F121" s="579" t="s">
        <v>405</v>
      </c>
      <c r="G121" s="646" t="s">
        <v>255</v>
      </c>
      <c r="H121" s="646" t="s">
        <v>247</v>
      </c>
      <c r="I121" s="282" t="s">
        <v>51</v>
      </c>
      <c r="J121" s="659">
        <v>574491741</v>
      </c>
      <c r="K121" s="659">
        <v>574491741</v>
      </c>
      <c r="L121" s="660">
        <v>1E-4</v>
      </c>
      <c r="M121" s="659">
        <f>132575017.2</f>
        <v>132575017.2</v>
      </c>
      <c r="N121" s="659">
        <f>85623+14165+39966.7</f>
        <v>139754.70000000001</v>
      </c>
      <c r="O121" s="578">
        <f t="shared" ref="O121:O133" si="6">K121-M121</f>
        <v>441916723.80000001</v>
      </c>
      <c r="P121" s="653" t="s">
        <v>248</v>
      </c>
      <c r="Q121" s="661" t="s">
        <v>433</v>
      </c>
      <c r="R121" s="214"/>
      <c r="S121" s="2"/>
    </row>
    <row r="122" spans="1:19" s="215" customFormat="1" ht="108" outlineLevel="1" x14ac:dyDescent="0.25">
      <c r="A122" s="225">
        <v>71</v>
      </c>
      <c r="B122" s="499" t="s">
        <v>249</v>
      </c>
      <c r="C122" s="499" t="s">
        <v>244</v>
      </c>
      <c r="D122" s="553" t="s">
        <v>414</v>
      </c>
      <c r="E122" s="553"/>
      <c r="F122" s="553" t="s">
        <v>405</v>
      </c>
      <c r="G122" s="616" t="s">
        <v>256</v>
      </c>
      <c r="H122" s="616" t="s">
        <v>250</v>
      </c>
      <c r="I122" s="282" t="s">
        <v>51</v>
      </c>
      <c r="J122" s="647">
        <v>98612371</v>
      </c>
      <c r="K122" s="516">
        <v>98612371</v>
      </c>
      <c r="L122" s="556">
        <v>1E-4</v>
      </c>
      <c r="M122" s="516"/>
      <c r="N122" s="516">
        <v>17060</v>
      </c>
      <c r="O122" s="585">
        <f t="shared" si="6"/>
        <v>98612371</v>
      </c>
      <c r="P122" s="648" t="s">
        <v>251</v>
      </c>
      <c r="Q122" s="628" t="s">
        <v>433</v>
      </c>
      <c r="R122" s="214"/>
      <c r="S122" s="2"/>
    </row>
    <row r="123" spans="1:19" s="215" customFormat="1" ht="108" outlineLevel="1" x14ac:dyDescent="0.25">
      <c r="A123" s="225">
        <v>72</v>
      </c>
      <c r="B123" s="499" t="s">
        <v>252</v>
      </c>
      <c r="C123" s="499" t="s">
        <v>244</v>
      </c>
      <c r="D123" s="553" t="s">
        <v>414</v>
      </c>
      <c r="E123" s="553"/>
      <c r="F123" s="553" t="s">
        <v>405</v>
      </c>
      <c r="G123" s="616" t="s">
        <v>257</v>
      </c>
      <c r="H123" s="616" t="s">
        <v>280</v>
      </c>
      <c r="I123" s="282" t="s">
        <v>51</v>
      </c>
      <c r="J123" s="647">
        <v>60132468</v>
      </c>
      <c r="K123" s="516">
        <v>60132468</v>
      </c>
      <c r="L123" s="556">
        <v>1E-4</v>
      </c>
      <c r="M123" s="516">
        <f>4625574.5+4625574.5+4625574.5+4625574.5+4625575+4625575+4625575+4625575+4625575+4625575+4625575</f>
        <v>50881323</v>
      </c>
      <c r="N123" s="516">
        <f>10367+1511.2+1400+1500+1500+1000+20000+1000</f>
        <v>38278.199999999997</v>
      </c>
      <c r="O123" s="585">
        <f t="shared" si="6"/>
        <v>9251145</v>
      </c>
      <c r="P123" s="648" t="s">
        <v>253</v>
      </c>
      <c r="Q123" s="628" t="s">
        <v>428</v>
      </c>
      <c r="R123" s="226"/>
      <c r="S123" s="2"/>
    </row>
    <row r="124" spans="1:19" s="215" customFormat="1" ht="108" outlineLevel="1" x14ac:dyDescent="0.25">
      <c r="A124" s="225">
        <v>73</v>
      </c>
      <c r="B124" s="499" t="s">
        <v>258</v>
      </c>
      <c r="C124" s="499" t="s">
        <v>244</v>
      </c>
      <c r="D124" s="553" t="s">
        <v>414</v>
      </c>
      <c r="E124" s="553"/>
      <c r="F124" s="553" t="s">
        <v>405</v>
      </c>
      <c r="G124" s="616" t="s">
        <v>245</v>
      </c>
      <c r="H124" s="616" t="s">
        <v>281</v>
      </c>
      <c r="I124" s="282" t="s">
        <v>51</v>
      </c>
      <c r="J124" s="284">
        <f>9500000+12453199</f>
        <v>21953199</v>
      </c>
      <c r="K124" s="516">
        <f>9500000+12453199</f>
        <v>21953199</v>
      </c>
      <c r="L124" s="556">
        <v>1E-4</v>
      </c>
      <c r="M124" s="516"/>
      <c r="N124" s="516">
        <v>3720</v>
      </c>
      <c r="O124" s="585">
        <f t="shared" si="6"/>
        <v>21953199</v>
      </c>
      <c r="P124" s="648" t="s">
        <v>283</v>
      </c>
      <c r="Q124" s="628" t="s">
        <v>433</v>
      </c>
      <c r="R124" s="226"/>
      <c r="S124" s="2"/>
    </row>
    <row r="125" spans="1:19" s="215" customFormat="1" ht="129.75" customHeight="1" outlineLevel="1" x14ac:dyDescent="0.25">
      <c r="A125" s="225">
        <v>74</v>
      </c>
      <c r="B125" s="499" t="s">
        <v>259</v>
      </c>
      <c r="C125" s="499" t="s">
        <v>244</v>
      </c>
      <c r="D125" s="553" t="s">
        <v>414</v>
      </c>
      <c r="E125" s="553"/>
      <c r="F125" s="553" t="s">
        <v>405</v>
      </c>
      <c r="G125" s="616" t="s">
        <v>245</v>
      </c>
      <c r="H125" s="616" t="s">
        <v>282</v>
      </c>
      <c r="I125" s="282" t="s">
        <v>51</v>
      </c>
      <c r="J125" s="647">
        <v>15801400</v>
      </c>
      <c r="K125" s="516">
        <v>15801400</v>
      </c>
      <c r="L125" s="556">
        <v>1E-4</v>
      </c>
      <c r="M125" s="516"/>
      <c r="N125" s="516">
        <v>3500</v>
      </c>
      <c r="O125" s="585">
        <f t="shared" si="6"/>
        <v>15801400</v>
      </c>
      <c r="P125" s="648" t="s">
        <v>284</v>
      </c>
      <c r="Q125" s="628" t="s">
        <v>433</v>
      </c>
      <c r="R125" s="226"/>
      <c r="S125" s="2"/>
    </row>
    <row r="126" spans="1:19" s="215" customFormat="1" ht="129.75" customHeight="1" outlineLevel="1" x14ac:dyDescent="0.25">
      <c r="A126" s="225">
        <v>75</v>
      </c>
      <c r="B126" s="499" t="s">
        <v>260</v>
      </c>
      <c r="C126" s="499" t="s">
        <v>244</v>
      </c>
      <c r="D126" s="553" t="s">
        <v>414</v>
      </c>
      <c r="E126" s="553"/>
      <c r="F126" s="553" t="s">
        <v>405</v>
      </c>
      <c r="G126" s="616" t="s">
        <v>245</v>
      </c>
      <c r="H126" s="616" t="s">
        <v>282</v>
      </c>
      <c r="I126" s="282" t="s">
        <v>51</v>
      </c>
      <c r="J126" s="647">
        <v>2554000</v>
      </c>
      <c r="K126" s="516">
        <v>2554000</v>
      </c>
      <c r="L126" s="556">
        <v>1E-4</v>
      </c>
      <c r="M126" s="516"/>
      <c r="N126" s="516">
        <f>500</f>
        <v>500</v>
      </c>
      <c r="O126" s="585">
        <f t="shared" si="6"/>
        <v>2554000</v>
      </c>
      <c r="P126" s="648" t="s">
        <v>285</v>
      </c>
      <c r="Q126" s="628" t="s">
        <v>433</v>
      </c>
      <c r="R126" s="226"/>
      <c r="S126" s="2"/>
    </row>
    <row r="127" spans="1:19" s="215" customFormat="1" ht="129.75" customHeight="1" outlineLevel="1" x14ac:dyDescent="0.25">
      <c r="A127" s="225">
        <v>76</v>
      </c>
      <c r="B127" s="499" t="s">
        <v>261</v>
      </c>
      <c r="C127" s="499" t="s">
        <v>244</v>
      </c>
      <c r="D127" s="553" t="s">
        <v>414</v>
      </c>
      <c r="E127" s="553"/>
      <c r="F127" s="553" t="s">
        <v>405</v>
      </c>
      <c r="G127" s="616" t="s">
        <v>245</v>
      </c>
      <c r="H127" s="616" t="s">
        <v>286</v>
      </c>
      <c r="I127" s="282" t="s">
        <v>51</v>
      </c>
      <c r="J127" s="647">
        <v>29053320</v>
      </c>
      <c r="K127" s="516">
        <v>29053320</v>
      </c>
      <c r="L127" s="556">
        <v>1E-4</v>
      </c>
      <c r="M127" s="516"/>
      <c r="N127" s="516">
        <f>2000+3000</f>
        <v>5000</v>
      </c>
      <c r="O127" s="585">
        <f t="shared" si="6"/>
        <v>29053320</v>
      </c>
      <c r="P127" s="648" t="s">
        <v>268</v>
      </c>
      <c r="Q127" s="628" t="s">
        <v>433</v>
      </c>
      <c r="R127" s="226"/>
      <c r="S127" s="2"/>
    </row>
    <row r="128" spans="1:19" s="215" customFormat="1" ht="129.75" customHeight="1" outlineLevel="1" x14ac:dyDescent="0.25">
      <c r="A128" s="225">
        <v>77</v>
      </c>
      <c r="B128" s="499" t="s">
        <v>262</v>
      </c>
      <c r="C128" s="499" t="s">
        <v>244</v>
      </c>
      <c r="D128" s="553" t="s">
        <v>414</v>
      </c>
      <c r="E128" s="553"/>
      <c r="F128" s="553" t="s">
        <v>405</v>
      </c>
      <c r="G128" s="616" t="s">
        <v>245</v>
      </c>
      <c r="H128" s="616" t="s">
        <v>287</v>
      </c>
      <c r="I128" s="282" t="s">
        <v>51</v>
      </c>
      <c r="J128" s="647">
        <v>192064443</v>
      </c>
      <c r="K128" s="516">
        <f>95000000+97064443</f>
        <v>192064443</v>
      </c>
      <c r="L128" s="556">
        <v>1E-4</v>
      </c>
      <c r="M128" s="516">
        <f>65000000+20000000+30000000+10000000+10000000</f>
        <v>135000000</v>
      </c>
      <c r="N128" s="516">
        <f>16100+12200+23933</f>
        <v>52233</v>
      </c>
      <c r="O128" s="585">
        <f t="shared" si="6"/>
        <v>57064443</v>
      </c>
      <c r="P128" s="648" t="s">
        <v>350</v>
      </c>
      <c r="Q128" s="628" t="s">
        <v>428</v>
      </c>
      <c r="R128" s="226"/>
      <c r="S128" s="2"/>
    </row>
    <row r="129" spans="1:19" s="215" customFormat="1" ht="129.75" customHeight="1" outlineLevel="1" x14ac:dyDescent="0.25">
      <c r="A129" s="225">
        <v>78</v>
      </c>
      <c r="B129" s="499" t="s">
        <v>263</v>
      </c>
      <c r="C129" s="499" t="s">
        <v>244</v>
      </c>
      <c r="D129" s="553" t="s">
        <v>414</v>
      </c>
      <c r="E129" s="553"/>
      <c r="F129" s="553" t="s">
        <v>405</v>
      </c>
      <c r="G129" s="616" t="s">
        <v>245</v>
      </c>
      <c r="H129" s="616" t="s">
        <v>288</v>
      </c>
      <c r="I129" s="282" t="s">
        <v>51</v>
      </c>
      <c r="J129" s="647">
        <v>3469534</v>
      </c>
      <c r="K129" s="516">
        <v>3469534</v>
      </c>
      <c r="L129" s="556">
        <v>1E-4</v>
      </c>
      <c r="M129" s="516">
        <v>266887</v>
      </c>
      <c r="N129" s="516">
        <f>600+86</f>
        <v>686</v>
      </c>
      <c r="O129" s="585">
        <f t="shared" si="6"/>
        <v>3202647</v>
      </c>
      <c r="P129" s="648" t="s">
        <v>289</v>
      </c>
      <c r="Q129" s="628" t="s">
        <v>433</v>
      </c>
      <c r="R129" s="226"/>
      <c r="S129" s="2"/>
    </row>
    <row r="130" spans="1:19" s="215" customFormat="1" ht="129.75" customHeight="1" outlineLevel="1" x14ac:dyDescent="0.25">
      <c r="A130" s="225">
        <v>79</v>
      </c>
      <c r="B130" s="499" t="s">
        <v>270</v>
      </c>
      <c r="C130" s="499" t="s">
        <v>244</v>
      </c>
      <c r="D130" s="553" t="s">
        <v>414</v>
      </c>
      <c r="E130" s="553"/>
      <c r="F130" s="553" t="s">
        <v>405</v>
      </c>
      <c r="G130" s="616" t="s">
        <v>245</v>
      </c>
      <c r="H130" s="616" t="s">
        <v>291</v>
      </c>
      <c r="I130" s="282" t="s">
        <v>51</v>
      </c>
      <c r="J130" s="647">
        <v>11781702</v>
      </c>
      <c r="K130" s="516">
        <v>11781702</v>
      </c>
      <c r="L130" s="556">
        <v>1E-4</v>
      </c>
      <c r="M130" s="516">
        <f>906285+906285+906285+906285+906285+906285+906285+906285+906285+906285+906285</f>
        <v>9969135</v>
      </c>
      <c r="N130" s="516">
        <f>3000+1500+1500</f>
        <v>6000</v>
      </c>
      <c r="O130" s="585">
        <f t="shared" si="6"/>
        <v>1812567</v>
      </c>
      <c r="P130" s="648" t="s">
        <v>290</v>
      </c>
      <c r="Q130" s="628" t="s">
        <v>428</v>
      </c>
      <c r="R130" s="226"/>
      <c r="S130" s="2"/>
    </row>
    <row r="131" spans="1:19" s="215" customFormat="1" ht="129.75" customHeight="1" outlineLevel="1" x14ac:dyDescent="0.25">
      <c r="A131" s="225">
        <v>0</v>
      </c>
      <c r="B131" s="499" t="s">
        <v>264</v>
      </c>
      <c r="C131" s="499" t="s">
        <v>244</v>
      </c>
      <c r="D131" s="553" t="s">
        <v>414</v>
      </c>
      <c r="E131" s="553"/>
      <c r="F131" s="553" t="s">
        <v>405</v>
      </c>
      <c r="G131" s="616" t="s">
        <v>245</v>
      </c>
      <c r="H131" s="616" t="s">
        <v>292</v>
      </c>
      <c r="I131" s="282" t="s">
        <v>51</v>
      </c>
      <c r="J131" s="647">
        <f>112000000+16200000</f>
        <v>128200000</v>
      </c>
      <c r="K131" s="516">
        <f>112000000+16200000</f>
        <v>128200000</v>
      </c>
      <c r="L131" s="556">
        <v>1E-4</v>
      </c>
      <c r="M131" s="516">
        <f>3000000+3000000+4000000</f>
        <v>10000000</v>
      </c>
      <c r="N131" s="516">
        <f>25640+12820+12820+12820</f>
        <v>64100</v>
      </c>
      <c r="O131" s="585">
        <f t="shared" si="6"/>
        <v>118200000</v>
      </c>
      <c r="P131" s="648" t="s">
        <v>293</v>
      </c>
      <c r="Q131" s="628" t="s">
        <v>433</v>
      </c>
      <c r="R131" s="226"/>
      <c r="S131" s="2"/>
    </row>
    <row r="132" spans="1:19" s="215" customFormat="1" ht="129.75" customHeight="1" outlineLevel="1" x14ac:dyDescent="0.25">
      <c r="A132" s="225">
        <v>81</v>
      </c>
      <c r="B132" s="499" t="s">
        <v>271</v>
      </c>
      <c r="C132" s="499" t="s">
        <v>244</v>
      </c>
      <c r="D132" s="553" t="s">
        <v>414</v>
      </c>
      <c r="E132" s="553"/>
      <c r="F132" s="553" t="s">
        <v>405</v>
      </c>
      <c r="G132" s="616" t="s">
        <v>245</v>
      </c>
      <c r="H132" s="616" t="s">
        <v>294</v>
      </c>
      <c r="I132" s="282" t="s">
        <v>51</v>
      </c>
      <c r="J132" s="647">
        <v>26127500</v>
      </c>
      <c r="K132" s="516">
        <v>26127500</v>
      </c>
      <c r="L132" s="556">
        <v>1E-4</v>
      </c>
      <c r="M132" s="516"/>
      <c r="N132" s="516">
        <f>4530</f>
        <v>4530</v>
      </c>
      <c r="O132" s="585">
        <f t="shared" si="6"/>
        <v>26127500</v>
      </c>
      <c r="P132" s="648" t="s">
        <v>349</v>
      </c>
      <c r="Q132" s="628" t="s">
        <v>433</v>
      </c>
      <c r="R132" s="226"/>
      <c r="S132" s="2"/>
    </row>
    <row r="133" spans="1:19" s="215" customFormat="1" ht="129.75" customHeight="1" outlineLevel="1" x14ac:dyDescent="0.25">
      <c r="A133" s="225">
        <v>82</v>
      </c>
      <c r="B133" s="499" t="s">
        <v>265</v>
      </c>
      <c r="C133" s="499" t="s">
        <v>244</v>
      </c>
      <c r="D133" s="553" t="s">
        <v>414</v>
      </c>
      <c r="E133" s="553"/>
      <c r="F133" s="553" t="s">
        <v>405</v>
      </c>
      <c r="G133" s="616" t="s">
        <v>245</v>
      </c>
      <c r="H133" s="616" t="s">
        <v>295</v>
      </c>
      <c r="I133" s="282" t="s">
        <v>51</v>
      </c>
      <c r="J133" s="647">
        <v>19297200</v>
      </c>
      <c r="K133" s="516">
        <f>10800000+3440000+1440000+3617200</f>
        <v>19297200</v>
      </c>
      <c r="L133" s="556">
        <v>1E-4</v>
      </c>
      <c r="M133" s="516"/>
      <c r="N133" s="516">
        <f>3000</f>
        <v>3000</v>
      </c>
      <c r="O133" s="585">
        <f t="shared" si="6"/>
        <v>19297200</v>
      </c>
      <c r="P133" s="648" t="s">
        <v>310</v>
      </c>
      <c r="Q133" s="628" t="s">
        <v>483</v>
      </c>
      <c r="R133" s="226"/>
      <c r="S133" s="2"/>
    </row>
    <row r="134" spans="1:19" s="215" customFormat="1" ht="129.75" customHeight="1" outlineLevel="1" x14ac:dyDescent="0.25">
      <c r="A134" s="225">
        <v>83</v>
      </c>
      <c r="B134" s="499" t="s">
        <v>266</v>
      </c>
      <c r="C134" s="499" t="s">
        <v>244</v>
      </c>
      <c r="D134" s="553" t="s">
        <v>414</v>
      </c>
      <c r="E134" s="553"/>
      <c r="F134" s="553" t="s">
        <v>405</v>
      </c>
      <c r="G134" s="616" t="s">
        <v>245</v>
      </c>
      <c r="H134" s="616" t="s">
        <v>288</v>
      </c>
      <c r="I134" s="282" t="s">
        <v>51</v>
      </c>
      <c r="J134" s="647">
        <v>2164000</v>
      </c>
      <c r="K134" s="516">
        <v>2164000</v>
      </c>
      <c r="L134" s="556">
        <v>1E-4</v>
      </c>
      <c r="M134" s="516">
        <f>166462+166462+165000+167000+166500+166500+67000+265923+100000</f>
        <v>1430847</v>
      </c>
      <c r="N134" s="516">
        <f>370+54.8+100+100+500</f>
        <v>1124.8</v>
      </c>
      <c r="O134" s="585">
        <f>K134-N134</f>
        <v>2162875.2000000002</v>
      </c>
      <c r="P134" s="648" t="s">
        <v>269</v>
      </c>
      <c r="Q134" s="628" t="s">
        <v>428</v>
      </c>
      <c r="R134" s="226"/>
      <c r="S134" s="2"/>
    </row>
    <row r="135" spans="1:19" s="215" customFormat="1" ht="129.75" customHeight="1" outlineLevel="1" x14ac:dyDescent="0.25">
      <c r="A135" s="225">
        <v>84</v>
      </c>
      <c r="B135" s="499" t="s">
        <v>277</v>
      </c>
      <c r="C135" s="499" t="s">
        <v>244</v>
      </c>
      <c r="D135" s="553" t="s">
        <v>414</v>
      </c>
      <c r="E135" s="553"/>
      <c r="F135" s="553" t="s">
        <v>405</v>
      </c>
      <c r="G135" s="616" t="s">
        <v>245</v>
      </c>
      <c r="H135" s="616" t="s">
        <v>296</v>
      </c>
      <c r="I135" s="282" t="s">
        <v>51</v>
      </c>
      <c r="J135" s="647">
        <v>253504102</v>
      </c>
      <c r="K135" s="516">
        <v>253504102</v>
      </c>
      <c r="L135" s="556">
        <v>1E-4</v>
      </c>
      <c r="M135" s="516">
        <f>19500316+19500316+19500315+19500315+19500315+19500315+19500316+19500316+19500316+19500316+19500316</f>
        <v>214503472</v>
      </c>
      <c r="N135" s="516">
        <f>5973+6390+6181+6389+6181.4+6390+6390+6390+6389+5407+7015+5059.2+9482.9</f>
        <v>83637.499999999985</v>
      </c>
      <c r="O135" s="585">
        <f t="shared" ref="O135:O141" si="7">K135-M135</f>
        <v>39000630</v>
      </c>
      <c r="P135" s="648" t="s">
        <v>297</v>
      </c>
      <c r="Q135" s="628" t="s">
        <v>428</v>
      </c>
      <c r="R135" s="226"/>
      <c r="S135" s="2"/>
    </row>
    <row r="136" spans="1:19" s="215" customFormat="1" ht="129.75" customHeight="1" outlineLevel="1" x14ac:dyDescent="0.25">
      <c r="A136" s="225">
        <v>85</v>
      </c>
      <c r="B136" s="499" t="s">
        <v>278</v>
      </c>
      <c r="C136" s="499" t="s">
        <v>244</v>
      </c>
      <c r="D136" s="553" t="s">
        <v>414</v>
      </c>
      <c r="E136" s="553"/>
      <c r="F136" s="553" t="s">
        <v>405</v>
      </c>
      <c r="G136" s="616" t="s">
        <v>245</v>
      </c>
      <c r="H136" s="616" t="s">
        <v>296</v>
      </c>
      <c r="I136" s="282" t="s">
        <v>51</v>
      </c>
      <c r="J136" s="647">
        <v>76200000</v>
      </c>
      <c r="K136" s="516">
        <v>76200000</v>
      </c>
      <c r="L136" s="556">
        <v>1E-4</v>
      </c>
      <c r="M136" s="516"/>
      <c r="N136" s="516">
        <f>7620+5520</f>
        <v>13140</v>
      </c>
      <c r="O136" s="585">
        <f t="shared" si="7"/>
        <v>76200000</v>
      </c>
      <c r="P136" s="648" t="s">
        <v>298</v>
      </c>
      <c r="Q136" s="628" t="s">
        <v>433</v>
      </c>
      <c r="R136" s="226"/>
      <c r="S136" s="2"/>
    </row>
    <row r="137" spans="1:19" s="215" customFormat="1" ht="108" outlineLevel="1" x14ac:dyDescent="0.25">
      <c r="A137" s="225">
        <v>86</v>
      </c>
      <c r="B137" s="499" t="s">
        <v>279</v>
      </c>
      <c r="C137" s="499" t="s">
        <v>244</v>
      </c>
      <c r="D137" s="553" t="s">
        <v>414</v>
      </c>
      <c r="E137" s="553"/>
      <c r="F137" s="553" t="s">
        <v>405</v>
      </c>
      <c r="G137" s="616" t="s">
        <v>245</v>
      </c>
      <c r="H137" s="616" t="s">
        <v>299</v>
      </c>
      <c r="I137" s="282" t="s">
        <v>51</v>
      </c>
      <c r="J137" s="647">
        <v>50613970</v>
      </c>
      <c r="K137" s="516">
        <v>50613970</v>
      </c>
      <c r="L137" s="556">
        <v>1E-4</v>
      </c>
      <c r="M137" s="516"/>
      <c r="N137" s="516">
        <f>8800+8800</f>
        <v>17600</v>
      </c>
      <c r="O137" s="585">
        <f t="shared" si="7"/>
        <v>50613970</v>
      </c>
      <c r="P137" s="648" t="s">
        <v>300</v>
      </c>
      <c r="Q137" s="628" t="s">
        <v>433</v>
      </c>
      <c r="R137" s="226"/>
      <c r="S137" s="2"/>
    </row>
    <row r="138" spans="1:19" s="215" customFormat="1" ht="108" outlineLevel="1" x14ac:dyDescent="0.25">
      <c r="A138" s="225">
        <v>87</v>
      </c>
      <c r="B138" s="499" t="s">
        <v>311</v>
      </c>
      <c r="C138" s="499" t="s">
        <v>244</v>
      </c>
      <c r="D138" s="553" t="s">
        <v>414</v>
      </c>
      <c r="E138" s="553"/>
      <c r="F138" s="553" t="s">
        <v>405</v>
      </c>
      <c r="G138" s="616" t="s">
        <v>245</v>
      </c>
      <c r="H138" s="616" t="s">
        <v>312</v>
      </c>
      <c r="I138" s="282" t="s">
        <v>51</v>
      </c>
      <c r="J138" s="647">
        <v>184740000</v>
      </c>
      <c r="K138" s="516">
        <v>184740000</v>
      </c>
      <c r="L138" s="556">
        <v>1E-4</v>
      </c>
      <c r="M138" s="516"/>
      <c r="N138" s="516">
        <f>31700</f>
        <v>31700</v>
      </c>
      <c r="O138" s="585">
        <f t="shared" si="7"/>
        <v>184740000</v>
      </c>
      <c r="P138" s="648" t="s">
        <v>313</v>
      </c>
      <c r="Q138" s="628" t="s">
        <v>483</v>
      </c>
      <c r="R138" s="226"/>
      <c r="S138" s="2"/>
    </row>
    <row r="139" spans="1:19" s="215" customFormat="1" ht="108" outlineLevel="1" x14ac:dyDescent="0.25">
      <c r="A139" s="225">
        <v>88</v>
      </c>
      <c r="B139" s="499" t="s">
        <v>314</v>
      </c>
      <c r="C139" s="499" t="s">
        <v>244</v>
      </c>
      <c r="D139" s="553" t="s">
        <v>414</v>
      </c>
      <c r="E139" s="553"/>
      <c r="F139" s="553" t="s">
        <v>405</v>
      </c>
      <c r="G139" s="616" t="s">
        <v>245</v>
      </c>
      <c r="H139" s="616" t="s">
        <v>315</v>
      </c>
      <c r="I139" s="282" t="s">
        <v>51</v>
      </c>
      <c r="J139" s="647">
        <v>219559596</v>
      </c>
      <c r="K139" s="516">
        <v>219559596</v>
      </c>
      <c r="L139" s="556">
        <v>1E-4</v>
      </c>
      <c r="M139" s="516">
        <f>16889200+16889200+185781196</f>
        <v>219559596</v>
      </c>
      <c r="N139" s="516">
        <f>5294+5294+27550+5533+1000</f>
        <v>44671</v>
      </c>
      <c r="O139" s="585">
        <f t="shared" si="7"/>
        <v>0</v>
      </c>
      <c r="P139" s="648" t="s">
        <v>316</v>
      </c>
      <c r="Q139" s="628" t="s">
        <v>482</v>
      </c>
      <c r="R139" s="226"/>
      <c r="S139" s="2"/>
    </row>
    <row r="140" spans="1:19" s="215" customFormat="1" ht="108" outlineLevel="1" x14ac:dyDescent="0.25">
      <c r="A140" s="225">
        <v>89</v>
      </c>
      <c r="B140" s="499" t="s">
        <v>317</v>
      </c>
      <c r="C140" s="499" t="s">
        <v>244</v>
      </c>
      <c r="D140" s="553" t="s">
        <v>414</v>
      </c>
      <c r="E140" s="553"/>
      <c r="F140" s="553" t="s">
        <v>405</v>
      </c>
      <c r="G140" s="616" t="s">
        <v>245</v>
      </c>
      <c r="H140" s="616" t="s">
        <v>312</v>
      </c>
      <c r="I140" s="282" t="s">
        <v>51</v>
      </c>
      <c r="J140" s="647">
        <v>29081500</v>
      </c>
      <c r="K140" s="516">
        <v>29081500</v>
      </c>
      <c r="L140" s="556">
        <v>1E-4</v>
      </c>
      <c r="M140" s="516"/>
      <c r="N140" s="516">
        <f>1000+4000+3000+1000+1000</f>
        <v>10000</v>
      </c>
      <c r="O140" s="585">
        <f t="shared" si="7"/>
        <v>29081500</v>
      </c>
      <c r="P140" s="648" t="s">
        <v>318</v>
      </c>
      <c r="Q140" s="628" t="s">
        <v>433</v>
      </c>
      <c r="R140" s="226"/>
      <c r="S140" s="2"/>
    </row>
    <row r="141" spans="1:19" s="215" customFormat="1" ht="123" customHeight="1" outlineLevel="1" thickBot="1" x14ac:dyDescent="0.3">
      <c r="A141" s="225">
        <v>90</v>
      </c>
      <c r="B141" s="631" t="s">
        <v>319</v>
      </c>
      <c r="C141" s="631" t="s">
        <v>244</v>
      </c>
      <c r="D141" s="522" t="s">
        <v>414</v>
      </c>
      <c r="E141" s="522"/>
      <c r="F141" s="522" t="s">
        <v>405</v>
      </c>
      <c r="G141" s="523" t="s">
        <v>245</v>
      </c>
      <c r="H141" s="523" t="s">
        <v>334</v>
      </c>
      <c r="I141" s="522" t="s">
        <v>51</v>
      </c>
      <c r="J141" s="632">
        <v>12060940</v>
      </c>
      <c r="K141" s="632">
        <v>12060940</v>
      </c>
      <c r="L141" s="584">
        <v>1E-4</v>
      </c>
      <c r="M141" s="632"/>
      <c r="N141" s="632">
        <v>2170</v>
      </c>
      <c r="O141" s="635">
        <f t="shared" si="7"/>
        <v>12060940</v>
      </c>
      <c r="P141" s="631" t="s">
        <v>320</v>
      </c>
      <c r="Q141" s="628" t="s">
        <v>433</v>
      </c>
      <c r="R141" s="226"/>
      <c r="S141" s="2"/>
    </row>
    <row r="142" spans="1:19" s="594" customFormat="1" ht="30" customHeight="1" x14ac:dyDescent="0.25">
      <c r="A142" s="595" t="s">
        <v>352</v>
      </c>
      <c r="B142" s="596"/>
      <c r="C142" s="597"/>
      <c r="D142" s="638"/>
      <c r="E142" s="638"/>
      <c r="F142" s="639"/>
      <c r="G142" s="639"/>
      <c r="H142" s="639"/>
      <c r="I142" s="663" t="s">
        <v>30</v>
      </c>
      <c r="J142" s="603">
        <f>SUMIF($I$121:$I$141,I142,$J$121:$J$141)</f>
        <v>0</v>
      </c>
      <c r="K142" s="640">
        <f>SUMIF($I$111:$I$141,I142,$K$111:$K$141)</f>
        <v>0</v>
      </c>
      <c r="L142" s="640"/>
      <c r="M142" s="640">
        <f>SUMIF($I$121:$I$141,I142,$M$121:$M$141)</f>
        <v>0</v>
      </c>
      <c r="N142" s="640">
        <f>SUMIF($I$111:$I$141,I142,$N$111:$N$141)</f>
        <v>0</v>
      </c>
      <c r="O142" s="640">
        <f>SUMIF($I$111:$I$141,I142,$O$111:$O$141)</f>
        <v>0</v>
      </c>
      <c r="P142" s="641"/>
      <c r="Q142" s="593"/>
      <c r="R142" s="10"/>
      <c r="S142" s="2"/>
    </row>
    <row r="143" spans="1:19" s="594" customFormat="1" ht="27" customHeight="1" x14ac:dyDescent="0.25">
      <c r="A143" s="595"/>
      <c r="B143" s="596"/>
      <c r="C143" s="597"/>
      <c r="D143" s="562"/>
      <c r="E143" s="562"/>
      <c r="F143" s="598"/>
      <c r="G143" s="598"/>
      <c r="H143" s="598"/>
      <c r="I143" s="664" t="s">
        <v>51</v>
      </c>
      <c r="J143" s="599">
        <f>SUMIF($I$121:$I$141,I143,$J$121:$J$141)</f>
        <v>2011462986</v>
      </c>
      <c r="K143" s="599">
        <f>SUMIF($I$121:$I$141,I143,$K$121:$K$141)</f>
        <v>2011462986</v>
      </c>
      <c r="L143" s="599"/>
      <c r="M143" s="599">
        <f>SUMIF($I$121:$I$141,I143,$M$121:$M$141)</f>
        <v>774186277.20000005</v>
      </c>
      <c r="N143" s="599">
        <f>SUMIF($I$121:$I$141,I143,$N$121:$N$141)</f>
        <v>542405.19999999995</v>
      </c>
      <c r="O143" s="599">
        <f>SUMIF($I$121:$I$141,I143,$O$121:$O$141)</f>
        <v>1238706431</v>
      </c>
      <c r="P143" s="600"/>
      <c r="Q143" s="601"/>
      <c r="R143" s="10"/>
      <c r="S143" s="2"/>
    </row>
    <row r="144" spans="1:19" s="594" customFormat="1" ht="28.5" customHeight="1" x14ac:dyDescent="0.25">
      <c r="A144" s="595"/>
      <c r="B144" s="596"/>
      <c r="C144" s="597"/>
      <c r="D144" s="562"/>
      <c r="E144" s="562"/>
      <c r="F144" s="598"/>
      <c r="G144" s="598"/>
      <c r="H144" s="598"/>
      <c r="I144" s="664" t="s">
        <v>26</v>
      </c>
      <c r="J144" s="599">
        <f>SUMIF($I$121:$I$141,I144,$J$121:$J$141)</f>
        <v>0</v>
      </c>
      <c r="K144" s="599">
        <f>SUMIF($I$111:$I$141,I144,$K$111:$K$141)</f>
        <v>0</v>
      </c>
      <c r="L144" s="599"/>
      <c r="M144" s="599">
        <f>SUMIF($I$111:$I$141,I144,$M$111:$M$141)</f>
        <v>0</v>
      </c>
      <c r="N144" s="599">
        <f>SUMIF($I$111:$I$141,I144,$N$111:$N$141)</f>
        <v>0</v>
      </c>
      <c r="O144" s="599">
        <f>SUMIF($I$111:$I$141,I144,$O$111:$O$141)</f>
        <v>0</v>
      </c>
      <c r="P144" s="600"/>
      <c r="Q144" s="601"/>
      <c r="R144" s="10"/>
      <c r="S144" s="2"/>
    </row>
    <row r="145" spans="1:19" s="594" customFormat="1" ht="30" customHeight="1" thickBot="1" x14ac:dyDescent="0.3">
      <c r="A145" s="606"/>
      <c r="B145" s="607"/>
      <c r="C145" s="608"/>
      <c r="D145" s="626"/>
      <c r="E145" s="626"/>
      <c r="F145" s="609"/>
      <c r="G145" s="609"/>
      <c r="H145" s="609"/>
      <c r="I145" s="611" t="s">
        <v>18</v>
      </c>
      <c r="J145" s="613">
        <f>SUMIF($I$121:$I$141,I145,$J$121:$J$141)</f>
        <v>0</v>
      </c>
      <c r="K145" s="613">
        <f>SUMIF($I$111:$I$141,I145,$K$111:$K$141)</f>
        <v>0</v>
      </c>
      <c r="L145" s="613"/>
      <c r="M145" s="613">
        <f>SUMIF($I$111:$I$141,I145,$M$111:$M$141)</f>
        <v>0</v>
      </c>
      <c r="N145" s="613">
        <f>SUMIF($I$111:$I$141,I145,$N$111:$N$141)</f>
        <v>0</v>
      </c>
      <c r="O145" s="613">
        <f>SUMIF($I$111:$I$141,I145,$O$111:$O$141)</f>
        <v>0</v>
      </c>
      <c r="P145" s="614"/>
      <c r="Q145" s="615"/>
      <c r="R145" s="10"/>
      <c r="S145" s="2"/>
    </row>
    <row r="146" spans="1:19" s="594" customFormat="1" ht="15.75" customHeight="1" x14ac:dyDescent="0.25">
      <c r="A146" s="587" t="s">
        <v>162</v>
      </c>
      <c r="B146" s="588"/>
      <c r="C146" s="589"/>
      <c r="D146" s="638"/>
      <c r="E146" s="638"/>
      <c r="F146" s="639"/>
      <c r="G146" s="639"/>
      <c r="H146" s="639"/>
      <c r="I146" s="663" t="s">
        <v>30</v>
      </c>
      <c r="J146" s="640">
        <f>J51+J62+J73+J107+J117+J142</f>
        <v>340755742.28000003</v>
      </c>
      <c r="K146" s="640">
        <f>K51+K62+K73+K107+K117+K142</f>
        <v>144960529.04000002</v>
      </c>
      <c r="L146" s="640">
        <f>L51+L62+L73+L107+L117+L142</f>
        <v>0</v>
      </c>
      <c r="M146" s="640">
        <f>M51+M62+M73+M107+M117+M142</f>
        <v>57735985.294390991</v>
      </c>
      <c r="N146" s="640">
        <f>N51+N62+N73+N107+N117+N142</f>
        <v>22191558.302872021</v>
      </c>
      <c r="O146" s="640">
        <f>O51+O62+O73+O107+O117+O142</f>
        <v>87986112.175609007</v>
      </c>
      <c r="P146" s="641"/>
      <c r="Q146" s="593"/>
      <c r="R146" s="10"/>
      <c r="S146" s="2"/>
    </row>
    <row r="147" spans="1:19" s="594" customFormat="1" ht="17.25" customHeight="1" x14ac:dyDescent="0.25">
      <c r="A147" s="595"/>
      <c r="B147" s="596"/>
      <c r="C147" s="597"/>
      <c r="D147" s="562"/>
      <c r="E147" s="562"/>
      <c r="F147" s="598"/>
      <c r="G147" s="598"/>
      <c r="H147" s="598"/>
      <c r="I147" s="664" t="s">
        <v>51</v>
      </c>
      <c r="J147" s="640">
        <f>J52+J63+J74+J108+J118+J143</f>
        <v>185559253304.10001</v>
      </c>
      <c r="K147" s="640">
        <f>K52+K63+K74+K108+K118+K143</f>
        <v>204046786510.81</v>
      </c>
      <c r="L147" s="640">
        <f>L52+L63+L74+L108+L118+L143</f>
        <v>0</v>
      </c>
      <c r="M147" s="640">
        <f>M52+M63+M74+M108+M118+M143</f>
        <v>103820492138.0847</v>
      </c>
      <c r="N147" s="640">
        <f>N52+N63+N74+N108+N118+N143</f>
        <v>52233628362.067268</v>
      </c>
      <c r="O147" s="640">
        <f>O52+O63+O74+O108+O118+O143</f>
        <v>99977724094.925278</v>
      </c>
      <c r="P147" s="600"/>
      <c r="Q147" s="601"/>
      <c r="R147" s="10"/>
      <c r="S147" s="2"/>
    </row>
    <row r="148" spans="1:19" s="594" customFormat="1" ht="15" customHeight="1" x14ac:dyDescent="0.25">
      <c r="A148" s="595"/>
      <c r="B148" s="596"/>
      <c r="C148" s="597"/>
      <c r="D148" s="562"/>
      <c r="E148" s="562"/>
      <c r="F148" s="598"/>
      <c r="G148" s="598"/>
      <c r="H148" s="598"/>
      <c r="I148" s="664" t="s">
        <v>26</v>
      </c>
      <c r="J148" s="640">
        <f>J53+J64+J75+J109+J119+J144</f>
        <v>521140620.31999999</v>
      </c>
      <c r="K148" s="640">
        <f>K53+K64+K75+K109+K119+K144</f>
        <v>361925758.49000001</v>
      </c>
      <c r="L148" s="640">
        <f>L53+L64+L75+L109+L119+L144</f>
        <v>0</v>
      </c>
      <c r="M148" s="640">
        <f>M53+M64+M75+M109+M119+M144</f>
        <v>139147534.30791876</v>
      </c>
      <c r="N148" s="640">
        <f>N53+N64+N75+N109+N119+N144</f>
        <v>75189913.743387729</v>
      </c>
      <c r="O148" s="640">
        <f>O53+O64+O75+O109+O119+O144</f>
        <v>222778224.18208128</v>
      </c>
      <c r="P148" s="600"/>
      <c r="Q148" s="601"/>
      <c r="R148" s="10"/>
      <c r="S148" s="2"/>
    </row>
    <row r="149" spans="1:19" s="594" customFormat="1" ht="25.5" customHeight="1" x14ac:dyDescent="0.25">
      <c r="A149" s="595"/>
      <c r="B149" s="596"/>
      <c r="C149" s="597"/>
      <c r="D149" s="562"/>
      <c r="E149" s="562"/>
      <c r="F149" s="598"/>
      <c r="G149" s="598"/>
      <c r="H149" s="598"/>
      <c r="I149" s="664" t="s">
        <v>18</v>
      </c>
      <c r="J149" s="640">
        <f>J54+J65+J76+J110+J120+J145</f>
        <v>31777311969</v>
      </c>
      <c r="K149" s="640">
        <f>K54+K65+K76+K110+K120+K145</f>
        <v>31859249643</v>
      </c>
      <c r="L149" s="640">
        <f>L54+L65+L76+L110+L120+L145</f>
        <v>0</v>
      </c>
      <c r="M149" s="640">
        <f>M54+M65+M76+M110+M120+M145</f>
        <v>12885773631.690212</v>
      </c>
      <c r="N149" s="640">
        <f>N54+N65+N76+N110+N120+N145</f>
        <v>3662673025.1858797</v>
      </c>
      <c r="O149" s="640">
        <f>O54+O65+O76+O110+O120+O145</f>
        <v>18973476011.309788</v>
      </c>
      <c r="P149" s="604"/>
      <c r="Q149" s="605"/>
      <c r="R149" s="10"/>
      <c r="S149" s="2"/>
    </row>
    <row r="150" spans="1:19" s="594" customFormat="1" ht="15" customHeight="1" thickBot="1" x14ac:dyDescent="0.3">
      <c r="A150" s="606"/>
      <c r="B150" s="607"/>
      <c r="C150" s="608"/>
      <c r="D150" s="626"/>
      <c r="E150" s="626"/>
      <c r="F150" s="609"/>
      <c r="G150" s="609"/>
      <c r="H150" s="609"/>
      <c r="I150" s="664" t="s">
        <v>216</v>
      </c>
      <c r="J150" s="640">
        <f>J55</f>
        <v>24086688</v>
      </c>
      <c r="K150" s="640">
        <f>K55</f>
        <v>18384172.012149811</v>
      </c>
      <c r="L150" s="640">
        <f>L55</f>
        <v>0</v>
      </c>
      <c r="M150" s="640">
        <f>M55</f>
        <v>4824455.8054339811</v>
      </c>
      <c r="N150" s="640">
        <f>N55</f>
        <v>3135419.4621466845</v>
      </c>
      <c r="O150" s="640">
        <f>O55</f>
        <v>13559716.206715828</v>
      </c>
      <c r="P150" s="604"/>
      <c r="Q150" s="605"/>
      <c r="R150" s="10"/>
      <c r="S150" s="2"/>
    </row>
    <row r="151" spans="1:19" ht="51" customHeight="1" thickBot="1" x14ac:dyDescent="0.3">
      <c r="A151" s="665">
        <v>95</v>
      </c>
      <c r="B151" s="666" t="s">
        <v>579</v>
      </c>
      <c r="C151" s="667" t="s">
        <v>152</v>
      </c>
      <c r="D151" s="662" t="s">
        <v>414</v>
      </c>
      <c r="E151" s="662"/>
      <c r="F151" s="662" t="s">
        <v>405</v>
      </c>
      <c r="G151" s="662" t="s">
        <v>241</v>
      </c>
      <c r="H151" s="662" t="s">
        <v>242</v>
      </c>
      <c r="I151" s="667" t="s">
        <v>51</v>
      </c>
      <c r="J151" s="668">
        <f>834800635300+144000000000+32000000000+132000000000+3500000000+14000000000+2900000000+4000000000</f>
        <v>1167200635300</v>
      </c>
      <c r="K151" s="669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L151" s="670">
        <v>1E-4</v>
      </c>
      <c r="M151" s="669"/>
      <c r="N151" s="669"/>
      <c r="O151" s="671">
        <f>K151-M151</f>
        <v>1161789822801.3999</v>
      </c>
      <c r="P151" s="672" t="s">
        <v>111</v>
      </c>
      <c r="Q151" s="673"/>
      <c r="S151" s="594"/>
    </row>
    <row r="152" spans="1:19" ht="17.25" x14ac:dyDescent="0.3">
      <c r="B152" s="525" t="s">
        <v>51</v>
      </c>
      <c r="C152" s="526"/>
      <c r="I152" s="675"/>
      <c r="J152" s="676"/>
      <c r="K152" s="676"/>
      <c r="O152" s="678"/>
      <c r="P152" s="533"/>
      <c r="Q152" s="533"/>
    </row>
    <row r="153" spans="1:19" ht="17.25" x14ac:dyDescent="0.3">
      <c r="B153" s="525" t="s">
        <v>26</v>
      </c>
      <c r="C153" s="526">
        <v>393.26</v>
      </c>
      <c r="J153" s="676"/>
      <c r="K153" s="679"/>
      <c r="L153" s="680"/>
      <c r="N153" s="676"/>
      <c r="O153" s="681"/>
      <c r="P153" s="682"/>
      <c r="Q153" s="682"/>
    </row>
    <row r="154" spans="1:19" ht="17.25" x14ac:dyDescent="0.3">
      <c r="B154" s="525" t="s">
        <v>18</v>
      </c>
      <c r="C154" s="527">
        <v>2.6244999999999998</v>
      </c>
      <c r="K154" s="676"/>
      <c r="N154" s="676"/>
      <c r="O154" s="683"/>
      <c r="P154" s="684"/>
      <c r="Q154" s="684"/>
    </row>
    <row r="155" spans="1:19" ht="17.25" x14ac:dyDescent="0.3">
      <c r="B155" s="525" t="s">
        <v>30</v>
      </c>
      <c r="C155" s="526">
        <v>412.22</v>
      </c>
      <c r="K155" s="679"/>
      <c r="N155" s="676"/>
      <c r="O155" s="679"/>
      <c r="P155" s="684"/>
      <c r="Q155" s="684"/>
    </row>
    <row r="156" spans="1:19" ht="17.25" x14ac:dyDescent="0.3">
      <c r="B156" s="525" t="s">
        <v>216</v>
      </c>
      <c r="C156" s="526">
        <v>516.67999999999995</v>
      </c>
      <c r="N156" s="533"/>
      <c r="O156" s="676"/>
      <c r="P156" s="2"/>
      <c r="Q156" s="2"/>
    </row>
    <row r="157" spans="1:19" x14ac:dyDescent="0.25">
      <c r="P157" s="2"/>
      <c r="Q157" s="2"/>
    </row>
    <row r="158" spans="1:19" x14ac:dyDescent="0.25">
      <c r="O158" s="685"/>
    </row>
    <row r="159" spans="1:19" x14ac:dyDescent="0.25">
      <c r="K159" s="683"/>
      <c r="N159" s="676"/>
      <c r="O159" s="683"/>
    </row>
    <row r="160" spans="1:19" x14ac:dyDescent="0.25">
      <c r="O160" s="676"/>
    </row>
    <row r="161" spans="2:19" x14ac:dyDescent="0.25">
      <c r="O161" s="676"/>
    </row>
    <row r="165" spans="2:19" x14ac:dyDescent="0.25">
      <c r="O165" s="676"/>
    </row>
    <row r="166" spans="2:19" s="679" customFormat="1" x14ac:dyDescent="0.25">
      <c r="B166" s="528"/>
      <c r="C166" s="3"/>
      <c r="D166" s="3"/>
      <c r="E166" s="3"/>
      <c r="F166" s="3"/>
      <c r="G166" s="674"/>
      <c r="H166" s="3"/>
      <c r="I166" s="3"/>
      <c r="J166" s="3"/>
      <c r="K166" s="3"/>
      <c r="L166" s="677"/>
      <c r="M166" s="3"/>
      <c r="N166" s="3"/>
      <c r="O166" s="676"/>
      <c r="P166" s="3"/>
      <c r="Q166" s="3"/>
      <c r="R166" s="2"/>
      <c r="S166" s="3"/>
    </row>
    <row r="167" spans="2:19" x14ac:dyDescent="0.25">
      <c r="S167" s="679"/>
    </row>
  </sheetData>
  <sheetProtection formatCells="0" formatColumns="0" formatRows="0"/>
  <protectedRanges>
    <protectedRange password="C670" sqref="A78:J81 A84:J95 K78:Q81 K84:O95 P84:Q95 A69:Q72" name="Maria"/>
    <protectedRange algorithmName="SHA-512" hashValue="R0m7mG/o0t2+7dbQTzM5iQkFX2amgAS+iAGJudQnnweh07e6LDAbSuhvcwbzcp7drP+HIG4d/wHfMCXiBXmkow==" saltValue="hXh6Ce3lteSj/cvmR3BSBw==" spinCount="100000" sqref="P102:Q104 P151:Q151 P121:Q141 A151 A121:N141 A102:D104 H102:N104 E102:G102 E104:G104 F103:G103 C151:N151" name="Narine"/>
    <protectedRange algorithmName="SHA-512" hashValue="vw/tfZfxCvSE0U6Hm2G3C/Aj3bUp3KdD+IHhHinfC+crRPhv3Uapv1zQ/dMQFE5wwqt30lhFdhsH6enTApEPhg==" saltValue="AJSG7Dc7ySbRZF9wPd6fsA==" spinCount="100000" sqref="P104:Q106 A66:J67 A104:N106 K67:N67 K66:M66 P66:Q67" name="Nara"/>
    <protectedRange algorithmName="SHA-512" hashValue="2hnhy85Hze6pXZTujHMyiGA7lE9yapdzAMEgpTAQUbEvX5wkbgVJAYj8efzABUddHb+HHBXm+QO7FFQ7DdcL0Q==" saltValue="/3Se5MhqYIbXZuII16lL6A==" spinCount="100000" sqref="A111:J116 K111:Q116 A77:Q77" name="Nona"/>
    <protectedRange algorithmName="SHA-512" hashValue="vw/tfZfxCvSE0U6Hm2G3C/Aj3bUp3KdD+IHhHinfC+crRPhv3Uapv1zQ/dMQFE5wwqt30lhFdhsH6enTApEPhg==" saltValue="AJSG7Dc7ySbRZF9wPd6fsA==" spinCount="100000" sqref="N66" name="Nara_1"/>
    <protectedRange algorithmName="SHA-512" hashValue="R0m7mG/o0t2+7dbQTzM5iQkFX2amgAS+iAGJudQnnweh07e6LDAbSuhvcwbzcp7drP+HIG4d/wHfMCXiBXmkow==" saltValue="hXh6Ce3lteSj/cvmR3BSBw==" spinCount="100000" sqref="B151" name="Narine_1_1"/>
  </protectedRanges>
  <mergeCells count="124">
    <mergeCell ref="A1:P1"/>
    <mergeCell ref="A2:P2"/>
    <mergeCell ref="A5:A6"/>
    <mergeCell ref="E5:E6"/>
    <mergeCell ref="G5:G6"/>
    <mergeCell ref="A9:A10"/>
    <mergeCell ref="C9:C10"/>
    <mergeCell ref="E9:E10"/>
    <mergeCell ref="G9:G10"/>
    <mergeCell ref="H9:H10"/>
    <mergeCell ref="A13:A14"/>
    <mergeCell ref="C13:C14"/>
    <mergeCell ref="E13:E14"/>
    <mergeCell ref="G13:G14"/>
    <mergeCell ref="H13:H14"/>
    <mergeCell ref="P13:P14"/>
    <mergeCell ref="P9:P10"/>
    <mergeCell ref="A11:A12"/>
    <mergeCell ref="C11:C12"/>
    <mergeCell ref="E11:E12"/>
    <mergeCell ref="G11:G12"/>
    <mergeCell ref="H11:H12"/>
    <mergeCell ref="P11:P12"/>
    <mergeCell ref="P15:P16"/>
    <mergeCell ref="A17:A18"/>
    <mergeCell ref="C17:C18"/>
    <mergeCell ref="D17:D18"/>
    <mergeCell ref="E17:E18"/>
    <mergeCell ref="G17:G18"/>
    <mergeCell ref="H17:H18"/>
    <mergeCell ref="P17:P18"/>
    <mergeCell ref="A15:A16"/>
    <mergeCell ref="C15:C16"/>
    <mergeCell ref="D15:D16"/>
    <mergeCell ref="E15:E16"/>
    <mergeCell ref="G15:G16"/>
    <mergeCell ref="H15:H16"/>
    <mergeCell ref="P19:P20"/>
    <mergeCell ref="A21:A22"/>
    <mergeCell ref="G21:G22"/>
    <mergeCell ref="H21:H22"/>
    <mergeCell ref="P21:P22"/>
    <mergeCell ref="A19:A20"/>
    <mergeCell ref="C19:C22"/>
    <mergeCell ref="D19:D22"/>
    <mergeCell ref="E19:E22"/>
    <mergeCell ref="G19:G20"/>
    <mergeCell ref="H19:H20"/>
    <mergeCell ref="A27:A28"/>
    <mergeCell ref="G27:G28"/>
    <mergeCell ref="H27:H28"/>
    <mergeCell ref="P27:P28"/>
    <mergeCell ref="C23:C24"/>
    <mergeCell ref="D23:D24"/>
    <mergeCell ref="E23:E24"/>
    <mergeCell ref="H23:H24"/>
    <mergeCell ref="P23:P24"/>
    <mergeCell ref="A25:A26"/>
    <mergeCell ref="C25:C28"/>
    <mergeCell ref="D25:D28"/>
    <mergeCell ref="E25:E28"/>
    <mergeCell ref="G25:G26"/>
    <mergeCell ref="C29:C30"/>
    <mergeCell ref="D29:D30"/>
    <mergeCell ref="E29:E30"/>
    <mergeCell ref="C31:C32"/>
    <mergeCell ref="D31:D32"/>
    <mergeCell ref="E31:E32"/>
    <mergeCell ref="H25:H26"/>
    <mergeCell ref="P25:P26"/>
    <mergeCell ref="H33:H34"/>
    <mergeCell ref="A36:A38"/>
    <mergeCell ref="C36:C38"/>
    <mergeCell ref="D36:D38"/>
    <mergeCell ref="E36:E38"/>
    <mergeCell ref="G36:G38"/>
    <mergeCell ref="A33:A34"/>
    <mergeCell ref="B33:B34"/>
    <mergeCell ref="C33:C34"/>
    <mergeCell ref="D33:D34"/>
    <mergeCell ref="E33:E34"/>
    <mergeCell ref="G33:G34"/>
    <mergeCell ref="D49:D50"/>
    <mergeCell ref="E49:E50"/>
    <mergeCell ref="A51:C55"/>
    <mergeCell ref="P57:P58"/>
    <mergeCell ref="A60:A61"/>
    <mergeCell ref="C60:C61"/>
    <mergeCell ref="P60:P61"/>
    <mergeCell ref="P36:P38"/>
    <mergeCell ref="B41:B42"/>
    <mergeCell ref="E41:E42"/>
    <mergeCell ref="F41:F42"/>
    <mergeCell ref="A47:A48"/>
    <mergeCell ref="C47:C48"/>
    <mergeCell ref="E47:E48"/>
    <mergeCell ref="G47:G48"/>
    <mergeCell ref="H47:H48"/>
    <mergeCell ref="P47:P48"/>
    <mergeCell ref="P85:P87"/>
    <mergeCell ref="A90:A91"/>
    <mergeCell ref="B90:B91"/>
    <mergeCell ref="C90:C91"/>
    <mergeCell ref="D90:D91"/>
    <mergeCell ref="G90:G91"/>
    <mergeCell ref="P90:P91"/>
    <mergeCell ref="A62:C65"/>
    <mergeCell ref="A73:C76"/>
    <mergeCell ref="A80:A81"/>
    <mergeCell ref="B80:B81"/>
    <mergeCell ref="C80:C81"/>
    <mergeCell ref="H80:H81"/>
    <mergeCell ref="A142:C145"/>
    <mergeCell ref="A146:C150"/>
    <mergeCell ref="P97:P98"/>
    <mergeCell ref="A107:C110"/>
    <mergeCell ref="C112:C114"/>
    <mergeCell ref="A117:C120"/>
    <mergeCell ref="A97:A98"/>
    <mergeCell ref="B97:B98"/>
    <mergeCell ref="C97:C98"/>
    <mergeCell ref="D97:D98"/>
    <mergeCell ref="G97:G98"/>
    <mergeCell ref="H97:H98"/>
  </mergeCells>
  <conditionalFormatting sqref="K5">
    <cfRule type="cellIs" dxfId="18" priority="6" operator="notEqual">
      <formula>#REF!</formula>
    </cfRule>
  </conditionalFormatting>
  <conditionalFormatting sqref="K99 K6:K35 K37:K40 K47:K49 K43:K45">
    <cfRule type="cellIs" dxfId="17" priority="5" operator="notEqual">
      <formula>#REF!</formula>
    </cfRule>
  </conditionalFormatting>
  <conditionalFormatting sqref="J21">
    <cfRule type="cellIs" dxfId="16" priority="4" operator="notEqual">
      <formula>#REF!</formula>
    </cfRule>
  </conditionalFormatting>
  <conditionalFormatting sqref="K50">
    <cfRule type="cellIs" dxfId="15" priority="3" operator="notEqual">
      <formula>#REF!</formula>
    </cfRule>
  </conditionalFormatting>
  <conditionalFormatting sqref="K83">
    <cfRule type="cellIs" dxfId="14" priority="2" operator="notEqual">
      <formula>#REF!</formula>
    </cfRule>
  </conditionalFormatting>
  <conditionalFormatting sqref="K100:K101">
    <cfRule type="cellIs" dxfId="13" priority="1" operator="notEqual">
      <formula>#REF!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59"/>
  <sheetViews>
    <sheetView topLeftCell="B1" zoomScale="90" zoomScaleNormal="90" workbookViewId="0">
      <pane xSplit="1" ySplit="4" topLeftCell="C35" activePane="bottomRight" state="frozen"/>
      <selection activeCell="B1" sqref="B1"/>
      <selection pane="topRight" activeCell="C1" sqref="C1"/>
      <selection pane="bottomLeft" activeCell="B5" sqref="B5"/>
      <selection pane="bottomRight" activeCell="F36" sqref="F36"/>
    </sheetView>
  </sheetViews>
  <sheetFormatPr defaultRowHeight="13.5" outlineLevelRow="1" x14ac:dyDescent="0.25"/>
  <cols>
    <col min="1" max="1" width="6.85546875" style="3" customWidth="1"/>
    <col min="2" max="2" width="30.42578125" style="528" customWidth="1"/>
    <col min="3" max="3" width="30.42578125" style="3" customWidth="1"/>
    <col min="4" max="5" width="19.28515625" style="3" customWidth="1"/>
    <col min="6" max="6" width="23" style="3" customWidth="1"/>
    <col min="7" max="7" width="23.28515625" style="674" customWidth="1"/>
    <col min="8" max="8" width="20.140625" style="3" customWidth="1"/>
    <col min="9" max="9" width="16.42578125" style="3" bestFit="1" customWidth="1"/>
    <col min="10" max="10" width="21.28515625" style="3" customWidth="1"/>
    <col min="11" max="11" width="20.28515625" style="3" customWidth="1"/>
    <col min="12" max="12" width="21.7109375" style="677" customWidth="1"/>
    <col min="13" max="13" width="18.5703125" style="3" customWidth="1"/>
    <col min="14" max="14" width="18.85546875" style="3" bestFit="1" customWidth="1"/>
    <col min="15" max="15" width="26.7109375" style="3" bestFit="1" customWidth="1"/>
    <col min="16" max="16" width="26.42578125" style="3" customWidth="1"/>
    <col min="17" max="17" width="23.42578125" style="3" customWidth="1"/>
    <col min="18" max="18" width="23.5703125" style="2" customWidth="1"/>
    <col min="19" max="19" width="21.85546875" style="3" customWidth="1"/>
    <col min="20" max="16384" width="9.140625" style="3"/>
  </cols>
  <sheetData>
    <row r="1" spans="1:19" ht="22.5" x14ac:dyDescent="0.4">
      <c r="A1" s="529" t="s">
        <v>15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30"/>
    </row>
    <row r="2" spans="1:19" ht="54" customHeight="1" x14ac:dyDescent="0.4">
      <c r="A2" s="531" t="s">
        <v>487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2"/>
    </row>
    <row r="3" spans="1:19" ht="33.75" customHeight="1" thickBot="1" x14ac:dyDescent="0.3">
      <c r="A3" s="533"/>
      <c r="C3" s="533"/>
      <c r="D3" s="533"/>
      <c r="E3" s="533"/>
      <c r="F3" s="533"/>
      <c r="G3" s="534"/>
      <c r="H3" s="533"/>
      <c r="I3" s="533"/>
      <c r="J3" s="533"/>
      <c r="K3" s="533"/>
      <c r="L3" s="535"/>
      <c r="M3" s="533"/>
      <c r="N3" s="533"/>
      <c r="O3" s="533"/>
      <c r="P3" s="533"/>
      <c r="Q3" s="536"/>
    </row>
    <row r="4" spans="1:19" s="6" customFormat="1" ht="114" customHeight="1" thickBot="1" x14ac:dyDescent="0.3">
      <c r="A4" s="537" t="s">
        <v>128</v>
      </c>
      <c r="B4" s="538" t="s">
        <v>35</v>
      </c>
      <c r="C4" s="538" t="s">
        <v>153</v>
      </c>
      <c r="D4" s="538" t="s">
        <v>154</v>
      </c>
      <c r="E4" s="538" t="s">
        <v>435</v>
      </c>
      <c r="F4" s="538" t="s">
        <v>429</v>
      </c>
      <c r="G4" s="538" t="s">
        <v>14</v>
      </c>
      <c r="H4" s="538" t="s">
        <v>343</v>
      </c>
      <c r="I4" s="538" t="s">
        <v>20</v>
      </c>
      <c r="J4" s="538" t="s">
        <v>345</v>
      </c>
      <c r="K4" s="538" t="s">
        <v>347</v>
      </c>
      <c r="L4" s="539" t="s">
        <v>344</v>
      </c>
      <c r="M4" s="538" t="s">
        <v>5</v>
      </c>
      <c r="N4" s="538" t="s">
        <v>22</v>
      </c>
      <c r="O4" s="538" t="s">
        <v>6</v>
      </c>
      <c r="P4" s="538" t="s">
        <v>7</v>
      </c>
      <c r="Q4" s="540" t="s">
        <v>427</v>
      </c>
      <c r="R4" s="5"/>
      <c r="S4" s="541"/>
    </row>
    <row r="5" spans="1:19" ht="75" customHeight="1" outlineLevel="1" x14ac:dyDescent="0.25">
      <c r="A5" s="542">
        <v>1</v>
      </c>
      <c r="B5" s="367" t="s">
        <v>27</v>
      </c>
      <c r="C5" s="543" t="s">
        <v>40</v>
      </c>
      <c r="D5" s="513" t="s">
        <v>61</v>
      </c>
      <c r="E5" s="544" t="s">
        <v>436</v>
      </c>
      <c r="F5" s="513" t="s">
        <v>430</v>
      </c>
      <c r="G5" s="545" t="s">
        <v>39</v>
      </c>
      <c r="H5" s="513" t="s">
        <v>76</v>
      </c>
      <c r="I5" s="546" t="s">
        <v>30</v>
      </c>
      <c r="J5" s="287">
        <v>7300000</v>
      </c>
      <c r="K5" s="287">
        <f>5822389.5+13412.1+4470.7+716451.75+24588.85+716451.75+2235.35</f>
        <v>7299999.9999999991</v>
      </c>
      <c r="L5" s="547" t="s">
        <v>97</v>
      </c>
      <c r="M5" s="287">
        <f>595000+119000+119000+119000+119000+119000+119000+49036330/412.07</f>
        <v>1428000</v>
      </c>
      <c r="N5" s="287">
        <f>652083.5+22907.49+9236384.2/412.07</f>
        <v>697405.58994661097</v>
      </c>
      <c r="O5" s="287">
        <f>K5-M5</f>
        <v>5871999.9999999991</v>
      </c>
      <c r="P5" s="517" t="s">
        <v>437</v>
      </c>
      <c r="Q5" s="518" t="s">
        <v>428</v>
      </c>
      <c r="S5" s="2"/>
    </row>
    <row r="6" spans="1:19" ht="75.75" customHeight="1" outlineLevel="1" x14ac:dyDescent="0.25">
      <c r="A6" s="506"/>
      <c r="B6" s="282" t="s">
        <v>27</v>
      </c>
      <c r="C6" s="548" t="s">
        <v>41</v>
      </c>
      <c r="D6" s="513" t="s">
        <v>61</v>
      </c>
      <c r="E6" s="544"/>
      <c r="F6" s="368" t="s">
        <v>430</v>
      </c>
      <c r="G6" s="549"/>
      <c r="H6" s="368" t="s">
        <v>75</v>
      </c>
      <c r="I6" s="503" t="s">
        <v>30</v>
      </c>
      <c r="J6" s="284">
        <v>7300000</v>
      </c>
      <c r="K6" s="284">
        <v>7299999.9999999981</v>
      </c>
      <c r="L6" s="550" t="s">
        <v>62</v>
      </c>
      <c r="M6" s="284">
        <f>5474999.9+304166.7+304166.7+304166.7+304166.7+304166.7+304167</f>
        <v>7300000.4000000013</v>
      </c>
      <c r="N6" s="284">
        <f>1226756+8356.16+4154.77</f>
        <v>1239266.93</v>
      </c>
      <c r="O6" s="284">
        <f t="shared" ref="O6:O35" si="0">K6-M6</f>
        <v>-0.40000000316649675</v>
      </c>
      <c r="P6" s="291" t="s">
        <v>36</v>
      </c>
      <c r="Q6" s="369" t="s">
        <v>482</v>
      </c>
      <c r="S6" s="2"/>
    </row>
    <row r="7" spans="1:19" ht="79.5" customHeight="1" outlineLevel="1" x14ac:dyDescent="0.25">
      <c r="A7" s="225">
        <v>2</v>
      </c>
      <c r="B7" s="282" t="s">
        <v>27</v>
      </c>
      <c r="C7" s="282" t="s">
        <v>37</v>
      </c>
      <c r="D7" s="368" t="s">
        <v>61</v>
      </c>
      <c r="E7" s="551" t="s">
        <v>438</v>
      </c>
      <c r="F7" s="368" t="s">
        <v>430</v>
      </c>
      <c r="G7" s="551" t="s">
        <v>38</v>
      </c>
      <c r="H7" s="368" t="s">
        <v>77</v>
      </c>
      <c r="I7" s="503" t="s">
        <v>30</v>
      </c>
      <c r="J7" s="284">
        <v>14060526.73</v>
      </c>
      <c r="K7" s="284">
        <v>14060526.73</v>
      </c>
      <c r="L7" s="290">
        <v>7.4999999999999997E-3</v>
      </c>
      <c r="M7" s="284">
        <f>5858552.73979552+234342.1+234342.1+98055764.9/418.43+98932204.4/422.17+104987604.2/448.01+97345708.3/415.4+96565349.2/412.07</f>
        <v>7498947.4398756567</v>
      </c>
      <c r="N7" s="284">
        <f>1294472.69934396+40254.3+39195.3+16095956/418.43+15796672.6/422.17+16433280.1/448.01+14866002.9/415.4+14315888.7/412.07</f>
        <v>1557016.8093066525</v>
      </c>
      <c r="O7" s="284">
        <f t="shared" si="0"/>
        <v>6561579.2901243437</v>
      </c>
      <c r="P7" s="291" t="s">
        <v>108</v>
      </c>
      <c r="Q7" s="369" t="s">
        <v>428</v>
      </c>
      <c r="S7" s="2"/>
    </row>
    <row r="8" spans="1:19" ht="78.75" customHeight="1" outlineLevel="1" x14ac:dyDescent="0.25">
      <c r="A8" s="225">
        <v>3</v>
      </c>
      <c r="B8" s="282" t="s">
        <v>27</v>
      </c>
      <c r="C8" s="282" t="s">
        <v>33</v>
      </c>
      <c r="D8" s="368" t="s">
        <v>61</v>
      </c>
      <c r="E8" s="551" t="s">
        <v>443</v>
      </c>
      <c r="F8" s="368" t="s">
        <v>430</v>
      </c>
      <c r="G8" s="552" t="s">
        <v>34</v>
      </c>
      <c r="H8" s="368" t="s">
        <v>78</v>
      </c>
      <c r="I8" s="503" t="s">
        <v>30</v>
      </c>
      <c r="J8" s="284">
        <v>75000000</v>
      </c>
      <c r="K8" s="284"/>
      <c r="L8" s="290" t="s">
        <v>240</v>
      </c>
      <c r="M8" s="284"/>
      <c r="N8" s="284">
        <f>1932812.5+93750+93750+93750+93750+42000937.5/448.01+38943750/415.4+38631562.5/412.07</f>
        <v>2589062.5</v>
      </c>
      <c r="O8" s="284">
        <f t="shared" si="0"/>
        <v>0</v>
      </c>
      <c r="P8" s="291" t="s">
        <v>36</v>
      </c>
      <c r="Q8" s="369" t="s">
        <v>428</v>
      </c>
      <c r="S8" s="2"/>
    </row>
    <row r="9" spans="1:19" ht="81.75" customHeight="1" outlineLevel="1" x14ac:dyDescent="0.25">
      <c r="A9" s="498">
        <v>4</v>
      </c>
      <c r="B9" s="553" t="s">
        <v>27</v>
      </c>
      <c r="C9" s="500" t="s">
        <v>33</v>
      </c>
      <c r="D9" s="368" t="s">
        <v>61</v>
      </c>
      <c r="E9" s="554" t="s">
        <v>443</v>
      </c>
      <c r="F9" s="368" t="s">
        <v>430</v>
      </c>
      <c r="G9" s="501" t="s">
        <v>34</v>
      </c>
      <c r="H9" s="555" t="s">
        <v>79</v>
      </c>
      <c r="I9" s="503" t="s">
        <v>30</v>
      </c>
      <c r="J9" s="284">
        <v>10200000</v>
      </c>
      <c r="K9" s="284">
        <v>1394165.42</v>
      </c>
      <c r="L9" s="556" t="s">
        <v>97</v>
      </c>
      <c r="M9" s="284">
        <v>0</v>
      </c>
      <c r="N9" s="284">
        <f>200690.672577969+15587.2+6522152.1/418.43+6580448.3/422.17+6983221.5/448.01+6474922.9/415.4+6488083.3/412.07</f>
        <v>294371.77273986983</v>
      </c>
      <c r="O9" s="284">
        <f>K9-M9</f>
        <v>1394165.42</v>
      </c>
      <c r="P9" s="500" t="s">
        <v>36</v>
      </c>
      <c r="Q9" s="369" t="s">
        <v>428</v>
      </c>
      <c r="S9" s="2"/>
    </row>
    <row r="10" spans="1:19" ht="76.5" customHeight="1" outlineLevel="1" x14ac:dyDescent="0.25">
      <c r="A10" s="506"/>
      <c r="B10" s="553" t="s">
        <v>27</v>
      </c>
      <c r="C10" s="507"/>
      <c r="D10" s="368" t="s">
        <v>414</v>
      </c>
      <c r="E10" s="545"/>
      <c r="F10" s="513" t="s">
        <v>431</v>
      </c>
      <c r="G10" s="508"/>
      <c r="H10" s="557"/>
      <c r="I10" s="503" t="s">
        <v>51</v>
      </c>
      <c r="J10" s="284"/>
      <c r="K10" s="284">
        <v>267052669.90000001</v>
      </c>
      <c r="L10" s="556" t="s">
        <v>97</v>
      </c>
      <c r="M10" s="284"/>
      <c r="N10" s="284">
        <f>9774294.3+915305.4+915305.4+915305.4+915305.4+937784.6</f>
        <v>14373300.500000002</v>
      </c>
      <c r="O10" s="284">
        <f>K10-M10</f>
        <v>267052669.90000001</v>
      </c>
      <c r="P10" s="507"/>
      <c r="Q10" s="518" t="s">
        <v>428</v>
      </c>
      <c r="S10" s="2"/>
    </row>
    <row r="11" spans="1:19" ht="76.5" customHeight="1" outlineLevel="1" x14ac:dyDescent="0.25">
      <c r="A11" s="498">
        <v>5</v>
      </c>
      <c r="B11" s="553" t="s">
        <v>27</v>
      </c>
      <c r="C11" s="500" t="s">
        <v>186</v>
      </c>
      <c r="D11" s="368" t="s">
        <v>56</v>
      </c>
      <c r="E11" s="501" t="s">
        <v>444</v>
      </c>
      <c r="F11" s="368" t="s">
        <v>430</v>
      </c>
      <c r="G11" s="501" t="s">
        <v>190</v>
      </c>
      <c r="H11" s="555" t="s">
        <v>305</v>
      </c>
      <c r="I11" s="503" t="s">
        <v>30</v>
      </c>
      <c r="J11" s="284">
        <v>10000000</v>
      </c>
      <c r="K11" s="284"/>
      <c r="L11" s="556" t="s">
        <v>98</v>
      </c>
      <c r="M11" s="284"/>
      <c r="N11" s="284">
        <v>50000</v>
      </c>
      <c r="O11" s="284">
        <f>K11-M11</f>
        <v>0</v>
      </c>
      <c r="P11" s="500" t="s">
        <v>196</v>
      </c>
      <c r="Q11" s="369" t="s">
        <v>428</v>
      </c>
      <c r="S11" s="2"/>
    </row>
    <row r="12" spans="1:19" ht="76.5" customHeight="1" outlineLevel="1" x14ac:dyDescent="0.25">
      <c r="A12" s="506"/>
      <c r="B12" s="553" t="s">
        <v>27</v>
      </c>
      <c r="C12" s="507"/>
      <c r="D12" s="368" t="s">
        <v>414</v>
      </c>
      <c r="E12" s="508"/>
      <c r="F12" s="368" t="s">
        <v>431</v>
      </c>
      <c r="G12" s="508"/>
      <c r="H12" s="557"/>
      <c r="I12" s="368" t="s">
        <v>51</v>
      </c>
      <c r="J12" s="284"/>
      <c r="K12" s="284"/>
      <c r="L12" s="556" t="s">
        <v>98</v>
      </c>
      <c r="M12" s="284"/>
      <c r="N12" s="284"/>
      <c r="O12" s="284">
        <f t="shared" si="0"/>
        <v>0</v>
      </c>
      <c r="P12" s="507"/>
      <c r="Q12" s="518" t="s">
        <v>428</v>
      </c>
      <c r="S12" s="2"/>
    </row>
    <row r="13" spans="1:19" ht="76.5" customHeight="1" outlineLevel="1" x14ac:dyDescent="0.25">
      <c r="A13" s="498">
        <v>6</v>
      </c>
      <c r="B13" s="553" t="s">
        <v>27</v>
      </c>
      <c r="C13" s="500" t="s">
        <v>187</v>
      </c>
      <c r="D13" s="368" t="s">
        <v>61</v>
      </c>
      <c r="E13" s="501" t="s">
        <v>445</v>
      </c>
      <c r="F13" s="368" t="s">
        <v>430</v>
      </c>
      <c r="G13" s="501" t="s">
        <v>189</v>
      </c>
      <c r="H13" s="555" t="s">
        <v>188</v>
      </c>
      <c r="I13" s="503" t="s">
        <v>30</v>
      </c>
      <c r="J13" s="284">
        <v>83000000</v>
      </c>
      <c r="K13" s="284"/>
      <c r="L13" s="556" t="s">
        <v>415</v>
      </c>
      <c r="M13" s="284"/>
      <c r="N13" s="284">
        <f>1930326.40003794+103750+103750+103750+103750+46481037.5/448.01+43097750/415.4+42752262.5/412.07</f>
        <v>2656576.4000379397</v>
      </c>
      <c r="O13" s="284">
        <f t="shared" si="0"/>
        <v>0</v>
      </c>
      <c r="P13" s="500" t="s">
        <v>36</v>
      </c>
      <c r="Q13" s="369" t="s">
        <v>428</v>
      </c>
      <c r="S13" s="2"/>
    </row>
    <row r="14" spans="1:19" ht="76.5" customHeight="1" outlineLevel="1" x14ac:dyDescent="0.25">
      <c r="A14" s="506"/>
      <c r="B14" s="553" t="s">
        <v>27</v>
      </c>
      <c r="C14" s="507"/>
      <c r="D14" s="368" t="s">
        <v>414</v>
      </c>
      <c r="E14" s="508"/>
      <c r="F14" s="368" t="s">
        <v>431</v>
      </c>
      <c r="G14" s="508"/>
      <c r="H14" s="557"/>
      <c r="I14" s="368" t="s">
        <v>51</v>
      </c>
      <c r="J14" s="284"/>
      <c r="K14" s="284"/>
      <c r="L14" s="556" t="s">
        <v>415</v>
      </c>
      <c r="M14" s="284"/>
      <c r="N14" s="284"/>
      <c r="O14" s="284">
        <f t="shared" si="0"/>
        <v>0</v>
      </c>
      <c r="P14" s="507"/>
      <c r="Q14" s="518" t="s">
        <v>428</v>
      </c>
      <c r="R14" s="10"/>
      <c r="S14" s="2"/>
    </row>
    <row r="15" spans="1:19" ht="96.75" customHeight="1" outlineLevel="1" x14ac:dyDescent="0.25">
      <c r="A15" s="498">
        <v>7</v>
      </c>
      <c r="B15" s="553" t="s">
        <v>27</v>
      </c>
      <c r="C15" s="500" t="s">
        <v>47</v>
      </c>
      <c r="D15" s="555" t="s">
        <v>48</v>
      </c>
      <c r="E15" s="501" t="s">
        <v>446</v>
      </c>
      <c r="F15" s="368" t="s">
        <v>430</v>
      </c>
      <c r="G15" s="501" t="s">
        <v>49</v>
      </c>
      <c r="H15" s="555" t="s">
        <v>90</v>
      </c>
      <c r="I15" s="503" t="s">
        <v>26</v>
      </c>
      <c r="J15" s="284">
        <f>35500000-1434414.8</f>
        <v>34065585.200000003</v>
      </c>
      <c r="K15" s="284">
        <v>34065585.200000003</v>
      </c>
      <c r="L15" s="558" t="s">
        <v>399</v>
      </c>
      <c r="M15" s="284">
        <f>3406558.5+438685248.4/386.33+457603003.3/402.99+440229555/387.69+440172817.8/387.64</f>
        <v>7948636.6001575328</v>
      </c>
      <c r="N15" s="284">
        <f>6927866.15+372600334/386.33+433310604.9/402.99+419066992.3/387.69+399479184.6/387.64</f>
        <v>11079041.449912922</v>
      </c>
      <c r="O15" s="284">
        <f t="shared" si="0"/>
        <v>26116948.59984247</v>
      </c>
      <c r="P15" s="500" t="s">
        <v>31</v>
      </c>
      <c r="Q15" s="369" t="s">
        <v>428</v>
      </c>
      <c r="R15" s="10"/>
      <c r="S15" s="2"/>
    </row>
    <row r="16" spans="1:19" ht="81.75" customHeight="1" outlineLevel="1" x14ac:dyDescent="0.25">
      <c r="A16" s="506"/>
      <c r="B16" s="553" t="s">
        <v>27</v>
      </c>
      <c r="C16" s="507"/>
      <c r="D16" s="557"/>
      <c r="E16" s="508"/>
      <c r="F16" s="368" t="s">
        <v>431</v>
      </c>
      <c r="G16" s="508"/>
      <c r="H16" s="557"/>
      <c r="I16" s="368" t="s">
        <v>51</v>
      </c>
      <c r="J16" s="284"/>
      <c r="K16" s="284">
        <v>3680136115.8000002</v>
      </c>
      <c r="L16" s="558" t="s">
        <v>399</v>
      </c>
      <c r="M16" s="284">
        <f>387003402.1+121967878.3+121967878.3+121967878.3+121967878.2</f>
        <v>874874915.20000005</v>
      </c>
      <c r="N16" s="284">
        <f>743758864.24+103594252.5+115493072.7+116104685.6+110692047.4</f>
        <v>1189642922.4400001</v>
      </c>
      <c r="O16" s="284">
        <f t="shared" si="0"/>
        <v>2805261200.6000004</v>
      </c>
      <c r="P16" s="507"/>
      <c r="Q16" s="518" t="s">
        <v>428</v>
      </c>
      <c r="R16" s="10"/>
      <c r="S16" s="2"/>
    </row>
    <row r="17" spans="1:18" s="2" customFormat="1" ht="66.75" customHeight="1" outlineLevel="1" x14ac:dyDescent="0.25">
      <c r="A17" s="498">
        <v>8</v>
      </c>
      <c r="B17" s="553" t="s">
        <v>27</v>
      </c>
      <c r="C17" s="500" t="s">
        <v>50</v>
      </c>
      <c r="D17" s="555" t="s">
        <v>48</v>
      </c>
      <c r="E17" s="501" t="s">
        <v>447</v>
      </c>
      <c r="F17" s="368" t="s">
        <v>430</v>
      </c>
      <c r="G17" s="501" t="s">
        <v>28</v>
      </c>
      <c r="H17" s="501" t="s">
        <v>91</v>
      </c>
      <c r="I17" s="503" t="s">
        <v>26</v>
      </c>
      <c r="J17" s="559">
        <f>40000000-2500000-1500000</f>
        <v>36000000</v>
      </c>
      <c r="K17" s="284">
        <v>25459684.080000002</v>
      </c>
      <c r="L17" s="290" t="s">
        <v>399</v>
      </c>
      <c r="M17" s="284">
        <f>329635002.4/388.42+336424290.8/396.42</f>
        <v>1697312.3000877418</v>
      </c>
      <c r="N17" s="284">
        <f>4091306.45123489+373977422.6/403.57+376544951.9/388.42+344941572.7/396.42</f>
        <v>6857548.4512623288</v>
      </c>
      <c r="O17" s="284">
        <f t="shared" si="0"/>
        <v>23762371.779912259</v>
      </c>
      <c r="P17" s="500" t="s">
        <v>31</v>
      </c>
      <c r="Q17" s="369" t="s">
        <v>428</v>
      </c>
      <c r="R17" s="10"/>
    </row>
    <row r="18" spans="1:18" s="2" customFormat="1" ht="58.5" customHeight="1" outlineLevel="1" x14ac:dyDescent="0.25">
      <c r="A18" s="506"/>
      <c r="B18" s="553" t="s">
        <v>27</v>
      </c>
      <c r="C18" s="507"/>
      <c r="D18" s="557"/>
      <c r="E18" s="508"/>
      <c r="F18" s="368" t="s">
        <v>431</v>
      </c>
      <c r="G18" s="508"/>
      <c r="H18" s="508"/>
      <c r="I18" s="368" t="s">
        <v>51</v>
      </c>
      <c r="J18" s="559"/>
      <c r="K18" s="284">
        <v>1298785286.0000002</v>
      </c>
      <c r="L18" s="290" t="s">
        <v>399</v>
      </c>
      <c r="M18" s="284">
        <f>563212.2+43274069.1+43274069.2</f>
        <v>87111350.5</v>
      </c>
      <c r="N18" s="284">
        <f>165583419.3+41681454.8+49409773.1+44369647.7</f>
        <v>301044294.90000004</v>
      </c>
      <c r="O18" s="284">
        <f t="shared" si="0"/>
        <v>1211673935.5000002</v>
      </c>
      <c r="P18" s="507"/>
      <c r="Q18" s="518" t="s">
        <v>428</v>
      </c>
      <c r="R18" s="10"/>
    </row>
    <row r="19" spans="1:18" s="2" customFormat="1" ht="70.5" customHeight="1" outlineLevel="1" x14ac:dyDescent="0.25">
      <c r="A19" s="498">
        <v>9</v>
      </c>
      <c r="B19" s="499" t="s">
        <v>27</v>
      </c>
      <c r="C19" s="500" t="s">
        <v>142</v>
      </c>
      <c r="D19" s="555" t="s">
        <v>48</v>
      </c>
      <c r="E19" s="549" t="s">
        <v>442</v>
      </c>
      <c r="F19" s="368" t="s">
        <v>430</v>
      </c>
      <c r="G19" s="544" t="s">
        <v>143</v>
      </c>
      <c r="H19" s="501" t="s">
        <v>218</v>
      </c>
      <c r="I19" s="503" t="s">
        <v>26</v>
      </c>
      <c r="J19" s="559">
        <v>23194486</v>
      </c>
      <c r="K19" s="284">
        <v>16720826.98</v>
      </c>
      <c r="L19" s="556" t="s">
        <v>399</v>
      </c>
      <c r="M19" s="284">
        <v>0</v>
      </c>
      <c r="N19" s="284">
        <f>1316813.632+122778919.2/386.33+153358408.7/402.99+182294474.3/387.69+212998140.2/387.64</f>
        <v>3034854.3323239107</v>
      </c>
      <c r="O19" s="284">
        <f t="shared" si="0"/>
        <v>16720826.98</v>
      </c>
      <c r="P19" s="500" t="s">
        <v>31</v>
      </c>
      <c r="Q19" s="369" t="s">
        <v>428</v>
      </c>
      <c r="R19" s="10"/>
    </row>
    <row r="20" spans="1:18" s="2" customFormat="1" ht="66.75" customHeight="1" outlineLevel="1" x14ac:dyDescent="0.25">
      <c r="A20" s="506"/>
      <c r="B20" s="499" t="s">
        <v>27</v>
      </c>
      <c r="C20" s="560"/>
      <c r="D20" s="561"/>
      <c r="E20" s="549"/>
      <c r="F20" s="368" t="s">
        <v>431</v>
      </c>
      <c r="G20" s="544"/>
      <c r="H20" s="508"/>
      <c r="I20" s="368" t="s">
        <v>51</v>
      </c>
      <c r="J20" s="559"/>
      <c r="K20" s="284">
        <v>1973636541.8999999</v>
      </c>
      <c r="L20" s="556" t="s">
        <v>399</v>
      </c>
      <c r="M20" s="284">
        <v>91463799.799999997</v>
      </c>
      <c r="N20" s="284">
        <f>119885553.7+36155098.5+43333756.7+53344969.4+61110243.5</f>
        <v>313829621.79999995</v>
      </c>
      <c r="O20" s="284">
        <f t="shared" si="0"/>
        <v>1882172742.0999999</v>
      </c>
      <c r="P20" s="507"/>
      <c r="Q20" s="369" t="s">
        <v>428</v>
      </c>
      <c r="R20" s="10"/>
    </row>
    <row r="21" spans="1:18" s="2" customFormat="1" ht="48" customHeight="1" outlineLevel="1" x14ac:dyDescent="0.25">
      <c r="A21" s="498">
        <v>10</v>
      </c>
      <c r="B21" s="499" t="s">
        <v>144</v>
      </c>
      <c r="C21" s="560"/>
      <c r="D21" s="561"/>
      <c r="E21" s="549"/>
      <c r="F21" s="368" t="s">
        <v>430</v>
      </c>
      <c r="G21" s="501" t="s">
        <v>165</v>
      </c>
      <c r="H21" s="501" t="s">
        <v>218</v>
      </c>
      <c r="I21" s="503" t="s">
        <v>26</v>
      </c>
      <c r="J21" s="284">
        <v>16662617.070000002</v>
      </c>
      <c r="K21" s="284">
        <v>16662617.070000002</v>
      </c>
      <c r="L21" s="556" t="s">
        <v>399</v>
      </c>
      <c r="M21" s="284"/>
      <c r="N21" s="284">
        <f>2194958+182027405/386.38+218562808/403.19+223111756.9/387.69+221137804.8/387.64</f>
        <v>4354113.9020888004</v>
      </c>
      <c r="O21" s="284">
        <f t="shared" si="0"/>
        <v>16662617.070000002</v>
      </c>
      <c r="P21" s="500" t="s">
        <v>31</v>
      </c>
      <c r="Q21" s="282" t="s">
        <v>428</v>
      </c>
      <c r="R21" s="10"/>
    </row>
    <row r="22" spans="1:18" s="2" customFormat="1" ht="54.75" customHeight="1" outlineLevel="1" x14ac:dyDescent="0.25">
      <c r="A22" s="506"/>
      <c r="B22" s="499" t="s">
        <v>144</v>
      </c>
      <c r="C22" s="507"/>
      <c r="D22" s="557"/>
      <c r="E22" s="549"/>
      <c r="F22" s="368" t="s">
        <v>431</v>
      </c>
      <c r="G22" s="508"/>
      <c r="H22" s="508"/>
      <c r="I22" s="503" t="s">
        <v>51</v>
      </c>
      <c r="J22" s="562"/>
      <c r="K22" s="284">
        <v>2003005775.2</v>
      </c>
      <c r="L22" s="556" t="s">
        <v>399</v>
      </c>
      <c r="M22" s="284"/>
      <c r="N22" s="284">
        <f>238604865.8+56631905+65163658.9+69156989.1+68598623.2</f>
        <v>498156041.99999994</v>
      </c>
      <c r="O22" s="284">
        <f t="shared" si="0"/>
        <v>2003005775.2</v>
      </c>
      <c r="P22" s="507"/>
      <c r="Q22" s="282" t="s">
        <v>428</v>
      </c>
      <c r="R22" s="10"/>
    </row>
    <row r="23" spans="1:18" s="2" customFormat="1" ht="54.75" customHeight="1" outlineLevel="1" x14ac:dyDescent="0.25">
      <c r="A23" s="563"/>
      <c r="B23" s="553" t="s">
        <v>27</v>
      </c>
      <c r="C23" s="500" t="s">
        <v>476</v>
      </c>
      <c r="D23" s="555" t="s">
        <v>48</v>
      </c>
      <c r="E23" s="554" t="s">
        <v>478</v>
      </c>
      <c r="F23" s="368" t="s">
        <v>430</v>
      </c>
      <c r="G23" s="564"/>
      <c r="H23" s="554" t="s">
        <v>477</v>
      </c>
      <c r="I23" s="503" t="s">
        <v>26</v>
      </c>
      <c r="J23" s="559">
        <v>40000000</v>
      </c>
      <c r="K23" s="284">
        <v>100000</v>
      </c>
      <c r="L23" s="556"/>
      <c r="M23" s="284"/>
      <c r="N23" s="284"/>
      <c r="O23" s="284">
        <f t="shared" si="0"/>
        <v>100000</v>
      </c>
      <c r="P23" s="500" t="s">
        <v>31</v>
      </c>
      <c r="Q23" s="282" t="s">
        <v>428</v>
      </c>
      <c r="R23" s="10"/>
    </row>
    <row r="24" spans="1:18" s="2" customFormat="1" ht="54.75" customHeight="1" outlineLevel="1" x14ac:dyDescent="0.25">
      <c r="A24" s="563"/>
      <c r="B24" s="553" t="s">
        <v>27</v>
      </c>
      <c r="C24" s="507"/>
      <c r="D24" s="557"/>
      <c r="E24" s="545"/>
      <c r="F24" s="368" t="s">
        <v>431</v>
      </c>
      <c r="G24" s="564"/>
      <c r="H24" s="545"/>
      <c r="I24" s="503" t="s">
        <v>51</v>
      </c>
      <c r="J24" s="559"/>
      <c r="K24" s="284"/>
      <c r="L24" s="556"/>
      <c r="M24" s="284"/>
      <c r="N24" s="284"/>
      <c r="O24" s="284">
        <f t="shared" si="0"/>
        <v>0</v>
      </c>
      <c r="P24" s="507"/>
      <c r="Q24" s="282" t="s">
        <v>428</v>
      </c>
      <c r="R24" s="10"/>
    </row>
    <row r="25" spans="1:18" s="2" customFormat="1" ht="57.75" customHeight="1" outlineLevel="1" x14ac:dyDescent="0.25">
      <c r="A25" s="498">
        <v>11</v>
      </c>
      <c r="B25" s="499" t="s">
        <v>27</v>
      </c>
      <c r="C25" s="500" t="s">
        <v>24</v>
      </c>
      <c r="D25" s="555" t="s">
        <v>25</v>
      </c>
      <c r="E25" s="549" t="s">
        <v>448</v>
      </c>
      <c r="F25" s="368" t="s">
        <v>430</v>
      </c>
      <c r="G25" s="501" t="s">
        <v>28</v>
      </c>
      <c r="H25" s="555" t="s">
        <v>92</v>
      </c>
      <c r="I25" s="503" t="s">
        <v>216</v>
      </c>
      <c r="J25" s="504">
        <v>13988153</v>
      </c>
      <c r="K25" s="284">
        <v>8262785.6411363389</v>
      </c>
      <c r="L25" s="556">
        <v>3.1399999999999997E-2</v>
      </c>
      <c r="M25" s="284">
        <f>1430873.60020494+107795234.9/520.68+109739226/530.07+105995907.4/511.99+105780752.2/510.95</f>
        <v>2258984.1004025689</v>
      </c>
      <c r="N25" s="284">
        <f>1219413.93+55848657.5/520.68+55104222/530.07+51579050.2/511.99+49822785.6/510.95</f>
        <v>1628883.8301780142</v>
      </c>
      <c r="O25" s="284">
        <f t="shared" si="0"/>
        <v>6003801.5407337695</v>
      </c>
      <c r="P25" s="500" t="s">
        <v>31</v>
      </c>
      <c r="Q25" s="369" t="s">
        <v>428</v>
      </c>
      <c r="R25" s="10"/>
    </row>
    <row r="26" spans="1:18" s="2" customFormat="1" ht="59.25" customHeight="1" outlineLevel="1" x14ac:dyDescent="0.25">
      <c r="A26" s="506"/>
      <c r="B26" s="499" t="s">
        <v>27</v>
      </c>
      <c r="C26" s="560"/>
      <c r="D26" s="561"/>
      <c r="E26" s="549"/>
      <c r="F26" s="368" t="s">
        <v>431</v>
      </c>
      <c r="G26" s="508"/>
      <c r="H26" s="557"/>
      <c r="I26" s="368" t="s">
        <v>51</v>
      </c>
      <c r="J26" s="510"/>
      <c r="K26" s="284">
        <v>1194787815</v>
      </c>
      <c r="L26" s="556">
        <v>3.1399999999999997E-2</v>
      </c>
      <c r="M26" s="284">
        <f>209123295.3+29868621.8+29868621.8+29868621.8+29868621.8</f>
        <v>328597782.50000006</v>
      </c>
      <c r="N26" s="284">
        <f>177460224.6+15474933+14998180+14534453+14068120.9</f>
        <v>236535911.5</v>
      </c>
      <c r="O26" s="284">
        <f t="shared" si="0"/>
        <v>866190032.5</v>
      </c>
      <c r="P26" s="507"/>
      <c r="Q26" s="369" t="s">
        <v>428</v>
      </c>
      <c r="R26" s="10"/>
    </row>
    <row r="27" spans="1:18" s="2" customFormat="1" ht="51.75" customHeight="1" outlineLevel="1" x14ac:dyDescent="0.25">
      <c r="A27" s="498">
        <v>12</v>
      </c>
      <c r="B27" s="499" t="s">
        <v>16</v>
      </c>
      <c r="C27" s="560"/>
      <c r="D27" s="561"/>
      <c r="E27" s="549"/>
      <c r="F27" s="368" t="s">
        <v>430</v>
      </c>
      <c r="G27" s="501" t="s">
        <v>29</v>
      </c>
      <c r="H27" s="555" t="s">
        <v>92</v>
      </c>
      <c r="I27" s="503" t="s">
        <v>216</v>
      </c>
      <c r="J27" s="504">
        <v>10098535</v>
      </c>
      <c r="K27" s="284">
        <v>10121386.37101347</v>
      </c>
      <c r="L27" s="556">
        <v>3.1399999999999997E-2</v>
      </c>
      <c r="M27" s="284">
        <f>1520990.1+136750579/520.29+138244588/530.59+133398381/511.99+133127359/510.95</f>
        <v>2565471.7050314122</v>
      </c>
      <c r="N27" s="284">
        <f>832426.027338+83294453/525+70252782/520.29+69454072/530.59+64924992/511.99+62703018/510.95</f>
        <v>1506535.6319686701</v>
      </c>
      <c r="O27" s="284">
        <f t="shared" si="0"/>
        <v>7555914.6659820583</v>
      </c>
      <c r="P27" s="500" t="s">
        <v>31</v>
      </c>
      <c r="Q27" s="369" t="s">
        <v>428</v>
      </c>
      <c r="R27" s="10"/>
    </row>
    <row r="28" spans="1:18" s="2" customFormat="1" ht="47.25" customHeight="1" outlineLevel="1" x14ac:dyDescent="0.25">
      <c r="A28" s="506"/>
      <c r="B28" s="499" t="s">
        <v>16</v>
      </c>
      <c r="C28" s="507"/>
      <c r="D28" s="557"/>
      <c r="E28" s="549"/>
      <c r="F28" s="368" t="s">
        <v>431</v>
      </c>
      <c r="G28" s="508"/>
      <c r="H28" s="557"/>
      <c r="I28" s="368" t="s">
        <v>51</v>
      </c>
      <c r="J28" s="510"/>
      <c r="K28" s="284">
        <v>794162455.89999998</v>
      </c>
      <c r="L28" s="556">
        <v>3.1399999999999997E-2</v>
      </c>
      <c r="M28" s="284">
        <f>123592049.7+20623615+20310837+20310837+20310838</f>
        <v>205148176.69999999</v>
      </c>
      <c r="N28" s="284">
        <f>78534680.8+10527955+10204165+9885285+9566405</f>
        <v>118718490.8</v>
      </c>
      <c r="O28" s="284">
        <f t="shared" si="0"/>
        <v>589014279.20000005</v>
      </c>
      <c r="P28" s="507"/>
      <c r="Q28" s="369" t="s">
        <v>428</v>
      </c>
      <c r="R28" s="10"/>
    </row>
    <row r="29" spans="1:18" s="2" customFormat="1" ht="48" customHeight="1" outlineLevel="1" x14ac:dyDescent="0.25">
      <c r="A29" s="225">
        <v>13</v>
      </c>
      <c r="B29" s="495" t="s">
        <v>27</v>
      </c>
      <c r="C29" s="500" t="s">
        <v>42</v>
      </c>
      <c r="D29" s="555" t="s">
        <v>43</v>
      </c>
      <c r="E29" s="554" t="s">
        <v>449</v>
      </c>
      <c r="F29" s="368" t="s">
        <v>430</v>
      </c>
      <c r="G29" s="552" t="s">
        <v>44</v>
      </c>
      <c r="H29" s="368" t="s">
        <v>86</v>
      </c>
      <c r="I29" s="503" t="s">
        <v>26</v>
      </c>
      <c r="J29" s="284">
        <v>19600000</v>
      </c>
      <c r="K29" s="284">
        <v>19419334.870000001</v>
      </c>
      <c r="L29" s="565">
        <v>5.0000000000000001E-3</v>
      </c>
      <c r="M29" s="284">
        <f>9716960.66852489+189584407.5/488.5+172026989.7/443.26+153375144/395.2+150045288.9/386.62+156421689.8/403.05+150324717.3/387.34+155746404.5/401.31</f>
        <v>12433625.668773536</v>
      </c>
      <c r="N29" s="284">
        <f>1129921.93024286+16077756.3/488.5+14096288.6/443.26+12233850.7/395.2+11546870.2/386.62+11574265.9/403.05+10860006.5/387.34+10861254.5/401.31</f>
        <v>1339276.7301463305</v>
      </c>
      <c r="O29" s="284">
        <f t="shared" si="0"/>
        <v>6985709.2012264654</v>
      </c>
      <c r="P29" s="291" t="s">
        <v>31</v>
      </c>
      <c r="Q29" s="369" t="s">
        <v>428</v>
      </c>
      <c r="R29" s="10"/>
    </row>
    <row r="30" spans="1:18" s="2" customFormat="1" ht="60" customHeight="1" outlineLevel="1" x14ac:dyDescent="0.25">
      <c r="A30" s="225">
        <v>14</v>
      </c>
      <c r="B30" s="495" t="s">
        <v>16</v>
      </c>
      <c r="C30" s="507"/>
      <c r="D30" s="557"/>
      <c r="E30" s="545"/>
      <c r="F30" s="368" t="s">
        <v>430</v>
      </c>
      <c r="G30" s="552" t="s">
        <v>45</v>
      </c>
      <c r="H30" s="368" t="s">
        <v>87</v>
      </c>
      <c r="I30" s="503" t="s">
        <v>26</v>
      </c>
      <c r="J30" s="284">
        <v>297276.53999999998</v>
      </c>
      <c r="K30" s="284">
        <v>297276.53999999998</v>
      </c>
      <c r="L30" s="290" t="s">
        <v>125</v>
      </c>
      <c r="M30" s="284">
        <f>257638.543537781+4361667/440.15+3916234/395.2+3837157/387.22+3994520/403.1</f>
        <v>297276.54625526333</v>
      </c>
      <c r="N30" s="284">
        <f>229541.53251276+1912186/489.99+1556591/440.15+1259898/395.2+1094284/387.22+991707/403.1</f>
        <v>245454.73643449965</v>
      </c>
      <c r="O30" s="284">
        <f t="shared" si="0"/>
        <v>-6.255263346247375E-3</v>
      </c>
      <c r="P30" s="291" t="s">
        <v>31</v>
      </c>
      <c r="Q30" s="369" t="s">
        <v>428</v>
      </c>
      <c r="R30" s="10"/>
    </row>
    <row r="31" spans="1:18" s="2" customFormat="1" ht="51" customHeight="1" outlineLevel="1" x14ac:dyDescent="0.25">
      <c r="A31" s="225">
        <v>15</v>
      </c>
      <c r="B31" s="495" t="s">
        <v>16</v>
      </c>
      <c r="C31" s="566" t="s">
        <v>17</v>
      </c>
      <c r="D31" s="555" t="s">
        <v>65</v>
      </c>
      <c r="E31" s="554" t="s">
        <v>453</v>
      </c>
      <c r="F31" s="368" t="s">
        <v>430</v>
      </c>
      <c r="G31" s="552" t="s">
        <v>21</v>
      </c>
      <c r="H31" s="368" t="s">
        <v>93</v>
      </c>
      <c r="I31" s="368" t="s">
        <v>18</v>
      </c>
      <c r="J31" s="284">
        <v>1571940173.3299999</v>
      </c>
      <c r="K31" s="284">
        <v>1598519063</v>
      </c>
      <c r="L31" s="565">
        <v>1.7999999999999999E-2</v>
      </c>
      <c r="M31" s="284">
        <f>1030178646.5+123394332/3.026+109815247/2.693+110426917/2.708+107613234/2.639+106349114/2.608</f>
        <v>1234068819.1163616</v>
      </c>
      <c r="N31" s="284">
        <f>226837831.925937+13873556/3.026+11211247/2.693+10505503/2.708+9205948/2.639+8278004/2.608</f>
        <v>246127659.34121844</v>
      </c>
      <c r="O31" s="284">
        <f t="shared" si="0"/>
        <v>364450243.88363838</v>
      </c>
      <c r="P31" s="291" t="s">
        <v>31</v>
      </c>
      <c r="Q31" s="369" t="s">
        <v>428</v>
      </c>
      <c r="R31" s="10"/>
    </row>
    <row r="32" spans="1:18" s="2" customFormat="1" ht="41.25" customHeight="1" outlineLevel="1" x14ac:dyDescent="0.25">
      <c r="A32" s="225">
        <v>16</v>
      </c>
      <c r="B32" s="282" t="s">
        <v>2</v>
      </c>
      <c r="C32" s="567"/>
      <c r="D32" s="557"/>
      <c r="E32" s="545"/>
      <c r="F32" s="368" t="s">
        <v>430</v>
      </c>
      <c r="G32" s="552" t="s">
        <v>23</v>
      </c>
      <c r="H32" s="368" t="s">
        <v>93</v>
      </c>
      <c r="I32" s="368" t="s">
        <v>18</v>
      </c>
      <c r="J32" s="284">
        <v>3796371795.6700001</v>
      </c>
      <c r="K32" s="284">
        <v>3861444249</v>
      </c>
      <c r="L32" s="565">
        <v>1.7999999999999999E-2</v>
      </c>
      <c r="M32" s="284">
        <f>2513837447.56+291897058.6/3.026+259774877.3/2.693+261800600/2.714+254469412/2.638+251575521.7/2.608</f>
        <v>2996152481.4054999</v>
      </c>
      <c r="N32" s="284">
        <f>553224853.256799+32762341/3.026+26475306.9/2.693+24863667/2.714+21767387/2.638+19619296.3/2.608</f>
        <v>598818429.94730222</v>
      </c>
      <c r="O32" s="284">
        <f t="shared" si="0"/>
        <v>865291767.59450006</v>
      </c>
      <c r="P32" s="291" t="s">
        <v>31</v>
      </c>
      <c r="Q32" s="369" t="s">
        <v>428</v>
      </c>
      <c r="R32" s="10"/>
    </row>
    <row r="33" spans="1:19" s="2" customFormat="1" ht="69" customHeight="1" outlineLevel="1" x14ac:dyDescent="0.25">
      <c r="A33" s="498">
        <v>17</v>
      </c>
      <c r="B33" s="566" t="s">
        <v>88</v>
      </c>
      <c r="C33" s="500" t="s">
        <v>456</v>
      </c>
      <c r="D33" s="555" t="s">
        <v>43</v>
      </c>
      <c r="E33" s="554" t="s">
        <v>455</v>
      </c>
      <c r="F33" s="368" t="s">
        <v>430</v>
      </c>
      <c r="G33" s="501" t="s">
        <v>70</v>
      </c>
      <c r="H33" s="555" t="s">
        <v>89</v>
      </c>
      <c r="I33" s="503" t="s">
        <v>26</v>
      </c>
      <c r="J33" s="284">
        <v>4846628.13</v>
      </c>
      <c r="K33" s="284">
        <v>4737831.22</v>
      </c>
      <c r="L33" s="290">
        <v>7.4999999999999997E-3</v>
      </c>
      <c r="M33" s="284">
        <f>616176.07+18729201/386.44+19508050/402.51+18791723/387.73+18767489/387.23</f>
        <v>810040.07239122433</v>
      </c>
      <c r="N33" s="284">
        <f>353441.51+5923430/386.44+6198654/402.51+5835491.6/387.73+5820648/387.23</f>
        <v>414251.61169354402</v>
      </c>
      <c r="O33" s="284">
        <f t="shared" si="0"/>
        <v>3927791.1476087756</v>
      </c>
      <c r="P33" s="291" t="s">
        <v>111</v>
      </c>
      <c r="Q33" s="369" t="s">
        <v>428</v>
      </c>
      <c r="R33" s="10"/>
    </row>
    <row r="34" spans="1:19" s="2" customFormat="1" ht="69" customHeight="1" outlineLevel="1" x14ac:dyDescent="0.25">
      <c r="A34" s="506"/>
      <c r="B34" s="567"/>
      <c r="C34" s="507"/>
      <c r="D34" s="557"/>
      <c r="E34" s="545"/>
      <c r="F34" s="368" t="s">
        <v>431</v>
      </c>
      <c r="G34" s="508"/>
      <c r="H34" s="557"/>
      <c r="I34" s="368" t="s">
        <v>51</v>
      </c>
      <c r="J34" s="284">
        <v>1740568345.9000001</v>
      </c>
      <c r="K34" s="284">
        <v>1740568345.9000001</v>
      </c>
      <c r="L34" s="290">
        <v>7.4999999999999997E-3</v>
      </c>
      <c r="M34" s="284">
        <f>247100359+17402579+17402579+17402579+17402579</f>
        <v>316710675</v>
      </c>
      <c r="N34" s="284">
        <f>128165336.87+5554115.8+5580740.4+5454641.8+5448433.2</f>
        <v>150203268.06999999</v>
      </c>
      <c r="O34" s="284">
        <f t="shared" si="0"/>
        <v>1423857670.9000001</v>
      </c>
      <c r="P34" s="291" t="s">
        <v>111</v>
      </c>
      <c r="Q34" s="369" t="s">
        <v>428</v>
      </c>
      <c r="R34" s="10"/>
    </row>
    <row r="35" spans="1:19" ht="87" customHeight="1" outlineLevel="1" x14ac:dyDescent="0.25">
      <c r="A35" s="225">
        <v>18</v>
      </c>
      <c r="B35" s="495" t="s">
        <v>1</v>
      </c>
      <c r="C35" s="282" t="s">
        <v>59</v>
      </c>
      <c r="D35" s="368" t="s">
        <v>61</v>
      </c>
      <c r="E35" s="552" t="s">
        <v>451</v>
      </c>
      <c r="F35" s="368" t="s">
        <v>430</v>
      </c>
      <c r="G35" s="552" t="s">
        <v>58</v>
      </c>
      <c r="H35" s="552" t="s">
        <v>85</v>
      </c>
      <c r="I35" s="503" t="s">
        <v>30</v>
      </c>
      <c r="J35" s="568">
        <v>17895215.550000001</v>
      </c>
      <c r="K35" s="284">
        <v>17895215.550000001</v>
      </c>
      <c r="L35" s="290">
        <v>7.4999999999999997E-3</v>
      </c>
      <c r="M35" s="284">
        <v>9004359.9040168226</v>
      </c>
      <c r="N35" s="284">
        <f>2568161.28+12471869/415.04+3320320/414.34+16171473.8/438.74+15002335.6/420.29+14025433/406.4</f>
        <v>2713290.0956009617</v>
      </c>
      <c r="O35" s="284">
        <f t="shared" si="0"/>
        <v>8890855.6459831782</v>
      </c>
      <c r="P35" s="291" t="s">
        <v>31</v>
      </c>
      <c r="Q35" s="369" t="s">
        <v>428</v>
      </c>
      <c r="R35" s="10"/>
      <c r="S35" s="2"/>
    </row>
    <row r="36" spans="1:19" ht="55.5" customHeight="1" outlineLevel="1" x14ac:dyDescent="0.25">
      <c r="A36" s="498">
        <v>19</v>
      </c>
      <c r="B36" s="499" t="s">
        <v>210</v>
      </c>
      <c r="C36" s="500" t="s">
        <v>137</v>
      </c>
      <c r="D36" s="500" t="s">
        <v>147</v>
      </c>
      <c r="E36" s="500" t="s">
        <v>450</v>
      </c>
      <c r="F36" s="282" t="s">
        <v>430</v>
      </c>
      <c r="G36" s="500" t="s">
        <v>211</v>
      </c>
      <c r="H36" s="282" t="s">
        <v>235</v>
      </c>
      <c r="I36" s="503" t="s">
        <v>30</v>
      </c>
      <c r="J36" s="569">
        <v>22000000</v>
      </c>
      <c r="K36" s="284">
        <v>21247150.510000002</v>
      </c>
      <c r="L36" s="570" t="s">
        <v>138</v>
      </c>
      <c r="M36" s="284">
        <f>1047000+1047000+1047000+1047000+1047000+1047000+1047000+1047000+1048000</f>
        <v>9424000</v>
      </c>
      <c r="N36" s="284">
        <f>2375876.3+237670.2+221556.87</f>
        <v>2835103.37</v>
      </c>
      <c r="O36" s="284">
        <f>J36-M36</f>
        <v>12576000</v>
      </c>
      <c r="P36" s="500" t="s">
        <v>403</v>
      </c>
      <c r="Q36" s="369" t="s">
        <v>428</v>
      </c>
      <c r="R36" s="10"/>
      <c r="S36" s="2"/>
    </row>
    <row r="37" spans="1:19" ht="68.25" customHeight="1" outlineLevel="1" x14ac:dyDescent="0.25">
      <c r="A37" s="542"/>
      <c r="B37" s="499" t="s">
        <v>210</v>
      </c>
      <c r="C37" s="560"/>
      <c r="D37" s="560"/>
      <c r="E37" s="560"/>
      <c r="F37" s="282" t="s">
        <v>430</v>
      </c>
      <c r="G37" s="560"/>
      <c r="H37" s="282" t="s">
        <v>237</v>
      </c>
      <c r="I37" s="503" t="s">
        <v>30</v>
      </c>
      <c r="J37" s="569">
        <v>14500000</v>
      </c>
      <c r="K37" s="284">
        <v>14491281.059999999</v>
      </c>
      <c r="L37" s="570" t="s">
        <v>97</v>
      </c>
      <c r="M37" s="284">
        <f>241000+241000+241000+241000+241000+241000+241000+241000+241000</f>
        <v>2169000</v>
      </c>
      <c r="N37" s="284">
        <f>628643.7+48048.75+47190.19</f>
        <v>723882.6399999999</v>
      </c>
      <c r="O37" s="284">
        <f>J37-M37</f>
        <v>12331000</v>
      </c>
      <c r="P37" s="560"/>
      <c r="Q37" s="369" t="s">
        <v>428</v>
      </c>
      <c r="R37" s="10"/>
      <c r="S37" s="2"/>
    </row>
    <row r="38" spans="1:19" ht="62.25" customHeight="1" outlineLevel="1" x14ac:dyDescent="0.25">
      <c r="A38" s="506"/>
      <c r="B38" s="499" t="s">
        <v>210</v>
      </c>
      <c r="C38" s="507"/>
      <c r="D38" s="507"/>
      <c r="E38" s="507"/>
      <c r="F38" s="282" t="s">
        <v>430</v>
      </c>
      <c r="G38" s="507"/>
      <c r="H38" s="282" t="s">
        <v>236</v>
      </c>
      <c r="I38" s="503" t="s">
        <v>30</v>
      </c>
      <c r="J38" s="569">
        <v>14500000</v>
      </c>
      <c r="K38" s="284">
        <v>14500000.000000002</v>
      </c>
      <c r="L38" s="570" t="s">
        <v>139</v>
      </c>
      <c r="M38" s="284">
        <f>2519999.6+630000+630000+630000+630000+630000</f>
        <v>5669999.5999999996</v>
      </c>
      <c r="N38" s="284">
        <f>2336020+207340.05+195524.74</f>
        <v>2738884.79</v>
      </c>
      <c r="O38" s="284">
        <f>J38-M38</f>
        <v>8830000.4000000004</v>
      </c>
      <c r="P38" s="507"/>
      <c r="Q38" s="369" t="s">
        <v>428</v>
      </c>
      <c r="R38" s="10"/>
      <c r="S38" s="2"/>
    </row>
    <row r="39" spans="1:19" ht="94.5" customHeight="1" outlineLevel="1" x14ac:dyDescent="0.25">
      <c r="A39" s="225">
        <v>20</v>
      </c>
      <c r="B39" s="282" t="s">
        <v>71</v>
      </c>
      <c r="C39" s="495" t="s">
        <v>72</v>
      </c>
      <c r="D39" s="368" t="s">
        <v>65</v>
      </c>
      <c r="E39" s="368" t="s">
        <v>452</v>
      </c>
      <c r="F39" s="368" t="s">
        <v>430</v>
      </c>
      <c r="G39" s="552" t="s">
        <v>73</v>
      </c>
      <c r="H39" s="368" t="s">
        <v>94</v>
      </c>
      <c r="I39" s="368" t="s">
        <v>18</v>
      </c>
      <c r="J39" s="571">
        <v>26409000000</v>
      </c>
      <c r="K39" s="284">
        <v>26399286331</v>
      </c>
      <c r="L39" s="290">
        <v>7.4999999999999997E-3</v>
      </c>
      <c r="M39" s="284">
        <f>7357230331.16835+1131704010/2.615+1153775484/2.666+(500000000+500000000+175414184)/2.716+(131098126.4+500000000+500000000)/2.6131</f>
        <v>9088409139.7099285</v>
      </c>
      <c r="N39" s="284">
        <f>2607354309.06995+188428717.2/2.615+185536580.8/2.666+186649331.7/2.716+172476969.8/2.6136</f>
        <v>2883719042.4936247</v>
      </c>
      <c r="O39" s="286">
        <f t="shared" ref="O39:O50" si="1">K39-M39</f>
        <v>17310877191.29007</v>
      </c>
      <c r="P39" s="291" t="s">
        <v>126</v>
      </c>
      <c r="Q39" s="369" t="s">
        <v>428</v>
      </c>
      <c r="R39" s="10"/>
      <c r="S39" s="2"/>
    </row>
    <row r="40" spans="1:19" ht="86.25" customHeight="1" outlineLevel="1" x14ac:dyDescent="0.25">
      <c r="A40" s="225">
        <v>21</v>
      </c>
      <c r="B40" s="495" t="s">
        <v>27</v>
      </c>
      <c r="C40" s="282" t="s">
        <v>130</v>
      </c>
      <c r="D40" s="282" t="s">
        <v>106</v>
      </c>
      <c r="E40" s="282" t="s">
        <v>454</v>
      </c>
      <c r="F40" s="282" t="s">
        <v>430</v>
      </c>
      <c r="G40" s="552" t="s">
        <v>32</v>
      </c>
      <c r="H40" s="368" t="s">
        <v>95</v>
      </c>
      <c r="I40" s="503" t="s">
        <v>26</v>
      </c>
      <c r="J40" s="284">
        <v>8988290</v>
      </c>
      <c r="K40" s="284">
        <v>8988290</v>
      </c>
      <c r="L40" s="565">
        <v>5.0000000000000001E-3</v>
      </c>
      <c r="M40" s="284">
        <f>4199999.97+600000+600000+289644000/482.74+290820000/484.7+286458000/477.43+600000+600000+231939215.4/394.26</f>
        <v>8988289.9699999988</v>
      </c>
      <c r="N40" s="284">
        <f>838542.942447016+522591.6/394.26</f>
        <v>839868.44237092405</v>
      </c>
      <c r="O40" s="286">
        <f t="shared" si="1"/>
        <v>3.0000001192092896E-2</v>
      </c>
      <c r="P40" s="291" t="s">
        <v>111</v>
      </c>
      <c r="Q40" s="369" t="s">
        <v>428</v>
      </c>
      <c r="R40" s="10"/>
      <c r="S40" s="2"/>
    </row>
    <row r="41" spans="1:19" ht="86.25" customHeight="1" outlineLevel="1" x14ac:dyDescent="0.25">
      <c r="A41" s="225"/>
      <c r="B41" s="566" t="s">
        <v>27</v>
      </c>
      <c r="C41" s="282"/>
      <c r="D41" s="282"/>
      <c r="E41" s="572" t="s">
        <v>470</v>
      </c>
      <c r="F41" s="553" t="s">
        <v>405</v>
      </c>
      <c r="G41" s="552"/>
      <c r="H41" s="368" t="s">
        <v>471</v>
      </c>
      <c r="I41" s="283" t="s">
        <v>51</v>
      </c>
      <c r="J41" s="504">
        <v>1035000000</v>
      </c>
      <c r="K41" s="510">
        <f>1035000000-80500000</f>
        <v>954500000</v>
      </c>
      <c r="L41" s="573">
        <v>9.8613000000000006E-2</v>
      </c>
      <c r="M41" s="284"/>
      <c r="N41" s="284"/>
      <c r="O41" s="286">
        <f t="shared" si="1"/>
        <v>954500000</v>
      </c>
      <c r="P41" s="291" t="s">
        <v>111</v>
      </c>
      <c r="Q41" s="369" t="s">
        <v>428</v>
      </c>
      <c r="R41" s="10"/>
      <c r="S41" s="2"/>
    </row>
    <row r="42" spans="1:19" ht="86.25" customHeight="1" outlineLevel="1" x14ac:dyDescent="0.25">
      <c r="A42" s="225"/>
      <c r="B42" s="567"/>
      <c r="C42" s="282"/>
      <c r="D42" s="282"/>
      <c r="E42" s="574"/>
      <c r="F42" s="553" t="s">
        <v>405</v>
      </c>
      <c r="G42" s="552"/>
      <c r="H42" s="368"/>
      <c r="I42" s="283" t="s">
        <v>51</v>
      </c>
      <c r="J42" s="510">
        <v>1035000000</v>
      </c>
      <c r="K42" s="510"/>
      <c r="L42" s="565"/>
      <c r="M42" s="284"/>
      <c r="N42" s="284"/>
      <c r="O42" s="286">
        <f t="shared" si="1"/>
        <v>0</v>
      </c>
      <c r="P42" s="291" t="s">
        <v>111</v>
      </c>
      <c r="Q42" s="369" t="s">
        <v>428</v>
      </c>
      <c r="R42" s="10"/>
      <c r="S42" s="2"/>
    </row>
    <row r="43" spans="1:19" ht="73.5" customHeight="1" outlineLevel="1" x14ac:dyDescent="0.25">
      <c r="A43" s="225">
        <v>22</v>
      </c>
      <c r="B43" s="495" t="s">
        <v>0</v>
      </c>
      <c r="C43" s="282" t="s">
        <v>130</v>
      </c>
      <c r="D43" s="282" t="s">
        <v>9</v>
      </c>
      <c r="E43" s="282" t="s">
        <v>457</v>
      </c>
      <c r="F43" s="282" t="s">
        <v>430</v>
      </c>
      <c r="G43" s="496" t="s">
        <v>12</v>
      </c>
      <c r="H43" s="284" t="s">
        <v>96</v>
      </c>
      <c r="I43" s="497" t="s">
        <v>51</v>
      </c>
      <c r="J43" s="284">
        <v>1757100000</v>
      </c>
      <c r="K43" s="284">
        <v>1757100000</v>
      </c>
      <c r="L43" s="290">
        <v>7.4999999999999997E-3</v>
      </c>
      <c r="M43" s="284">
        <f>439275000+62753571.5+62753571.5+62753571.3+62753571.4+62753571.4+62753571.4+62753571.5+62753571.5+62753571.5+62753571.3</f>
        <v>1066810714.2999998</v>
      </c>
      <c r="N43" s="284">
        <f>303383430.5+3313904.4+3032802.7+3076644.3+2814884.5+2839384.2</f>
        <v>318461050.59999996</v>
      </c>
      <c r="O43" s="286">
        <f t="shared" si="1"/>
        <v>690289285.70000017</v>
      </c>
      <c r="P43" s="291" t="s">
        <v>111</v>
      </c>
      <c r="Q43" s="369" t="s">
        <v>428</v>
      </c>
      <c r="R43" s="10"/>
      <c r="S43" s="2"/>
    </row>
    <row r="44" spans="1:19" ht="82.5" customHeight="1" outlineLevel="1" x14ac:dyDescent="0.25">
      <c r="A44" s="575">
        <v>23</v>
      </c>
      <c r="B44" s="495" t="s">
        <v>0</v>
      </c>
      <c r="C44" s="282" t="s">
        <v>243</v>
      </c>
      <c r="D44" s="282" t="s">
        <v>414</v>
      </c>
      <c r="E44" s="496" t="s">
        <v>441</v>
      </c>
      <c r="F44" s="282" t="s">
        <v>405</v>
      </c>
      <c r="G44" s="496"/>
      <c r="H44" s="284" t="s">
        <v>336</v>
      </c>
      <c r="I44" s="497" t="s">
        <v>51</v>
      </c>
      <c r="J44" s="284">
        <v>18700000000</v>
      </c>
      <c r="K44" s="284">
        <v>18700000000</v>
      </c>
      <c r="L44" s="556">
        <v>7.4999999999999997E-2</v>
      </c>
      <c r="M44" s="284">
        <f>890476190.5+890476190.5+890476190.5+890476190.5+890476190.5+890476190.5</f>
        <v>5342857143</v>
      </c>
      <c r="N44" s="284">
        <f>1333335616.4+703171232.9+699328767.1+670052837.5+632909002+602718199.6+569233855.2+535749511</f>
        <v>5746499021.6999998</v>
      </c>
      <c r="O44" s="286">
        <f>K44-M44</f>
        <v>13357142857</v>
      </c>
      <c r="P44" s="291" t="s">
        <v>111</v>
      </c>
      <c r="Q44" s="369" t="s">
        <v>428</v>
      </c>
      <c r="R44" s="10"/>
      <c r="S44" s="2"/>
    </row>
    <row r="45" spans="1:19" ht="63.75" customHeight="1" outlineLevel="1" x14ac:dyDescent="0.25">
      <c r="A45" s="575">
        <v>24</v>
      </c>
      <c r="B45" s="495" t="s">
        <v>0</v>
      </c>
      <c r="C45" s="553" t="s">
        <v>354</v>
      </c>
      <c r="D45" s="282" t="s">
        <v>414</v>
      </c>
      <c r="E45" s="496" t="s">
        <v>440</v>
      </c>
      <c r="F45" s="282" t="s">
        <v>405</v>
      </c>
      <c r="G45" s="496"/>
      <c r="H45" s="284" t="s">
        <v>355</v>
      </c>
      <c r="I45" s="497" t="s">
        <v>51</v>
      </c>
      <c r="J45" s="284">
        <v>25000000000</v>
      </c>
      <c r="K45" s="284">
        <v>25000000000</v>
      </c>
      <c r="L45" s="556">
        <v>0.09</v>
      </c>
      <c r="M45" s="284">
        <f>1190476190.4+1190476190.5+1190476190.5+1190476190.5</f>
        <v>4761904761.8999996</v>
      </c>
      <c r="N45" s="284">
        <f>1171232876.7+1121917808.3+1128082191.8+1121917808.2+1074363992.2+1020645792.6+966927593</f>
        <v>7605088062.8000002</v>
      </c>
      <c r="O45" s="286">
        <f t="shared" si="1"/>
        <v>20238095238.099998</v>
      </c>
      <c r="P45" s="291" t="s">
        <v>111</v>
      </c>
      <c r="Q45" s="369" t="s">
        <v>428</v>
      </c>
      <c r="R45" s="10"/>
      <c r="S45" s="2"/>
    </row>
    <row r="46" spans="1:19" ht="82.5" customHeight="1" outlineLevel="1" x14ac:dyDescent="0.25">
      <c r="A46" s="575"/>
      <c r="B46" s="495" t="s">
        <v>0</v>
      </c>
      <c r="C46" s="282" t="s">
        <v>473</v>
      </c>
      <c r="D46" s="282" t="s">
        <v>414</v>
      </c>
      <c r="E46" s="496" t="s">
        <v>472</v>
      </c>
      <c r="F46" s="282" t="s">
        <v>405</v>
      </c>
      <c r="G46" s="496"/>
      <c r="H46" s="284" t="s">
        <v>469</v>
      </c>
      <c r="I46" s="497" t="s">
        <v>51</v>
      </c>
      <c r="J46" s="284">
        <v>5965000000</v>
      </c>
      <c r="K46" s="284">
        <v>5965000000</v>
      </c>
      <c r="L46" s="576">
        <v>9.8608000000000001E-2</v>
      </c>
      <c r="M46" s="284"/>
      <c r="N46" s="284">
        <v>24172468</v>
      </c>
      <c r="O46" s="286">
        <f>K46-M46</f>
        <v>5965000000</v>
      </c>
      <c r="P46" s="291" t="s">
        <v>111</v>
      </c>
      <c r="Q46" s="369" t="s">
        <v>428</v>
      </c>
      <c r="R46" s="10"/>
      <c r="S46" s="2"/>
    </row>
    <row r="47" spans="1:19" ht="78.75" customHeight="1" outlineLevel="1" x14ac:dyDescent="0.25">
      <c r="A47" s="498">
        <v>25</v>
      </c>
      <c r="B47" s="499" t="s">
        <v>0</v>
      </c>
      <c r="C47" s="500" t="s">
        <v>140</v>
      </c>
      <c r="D47" s="368" t="s">
        <v>416</v>
      </c>
      <c r="E47" s="500" t="s">
        <v>458</v>
      </c>
      <c r="F47" s="368" t="s">
        <v>430</v>
      </c>
      <c r="G47" s="501" t="s">
        <v>141</v>
      </c>
      <c r="H47" s="502" t="s">
        <v>136</v>
      </c>
      <c r="I47" s="503" t="s">
        <v>26</v>
      </c>
      <c r="J47" s="504">
        <v>270000000</v>
      </c>
      <c r="K47" s="284">
        <v>170663629.05000004</v>
      </c>
      <c r="L47" s="505">
        <v>0.03</v>
      </c>
      <c r="M47" s="284">
        <f>51199088.7002228+3370009369.8/394.93+3295429324.9/386.19+3461143748.2/405.61+3310959715/388.01+(1000000000+1424393078.3+962000000)/396.85</f>
        <v>93864996.000313431</v>
      </c>
      <c r="N47" s="284">
        <f>20309911.275649+723428666.7/394.93+646453366.1/386.19+636850451.3/405.61+552378447/388.01+519246953.2/396.85</f>
        <v>28117772.275609713</v>
      </c>
      <c r="O47" s="286">
        <f t="shared" si="1"/>
        <v>76798633.049686611</v>
      </c>
      <c r="P47" s="500" t="s">
        <v>99</v>
      </c>
      <c r="Q47" s="282" t="s">
        <v>428</v>
      </c>
      <c r="R47" s="10"/>
      <c r="S47" s="2"/>
    </row>
    <row r="48" spans="1:19" ht="71.25" customHeight="1" outlineLevel="1" x14ac:dyDescent="0.25">
      <c r="A48" s="506"/>
      <c r="B48" s="499" t="s">
        <v>0</v>
      </c>
      <c r="C48" s="507"/>
      <c r="D48" s="282" t="s">
        <v>414</v>
      </c>
      <c r="E48" s="507"/>
      <c r="F48" s="282" t="s">
        <v>431</v>
      </c>
      <c r="G48" s="508"/>
      <c r="H48" s="509"/>
      <c r="I48" s="497" t="s">
        <v>51</v>
      </c>
      <c r="J48" s="510">
        <v>1265847400</v>
      </c>
      <c r="K48" s="284">
        <f>9509488626+108542329</f>
        <v>9618030955</v>
      </c>
      <c r="L48" s="505">
        <v>0.03</v>
      </c>
      <c r="M48" s="284">
        <f>2858334735.47632+482835444.3+482835444.2+482835444.3+482835444.2+482835444.3</f>
        <v>5272511956.7763195</v>
      </c>
      <c r="N48" s="284">
        <f>1045375895.11175+103648675.3+94716219.7+88841721.7+80553046.6+74034768.1</f>
        <v>1487170326.51175</v>
      </c>
      <c r="O48" s="286">
        <f t="shared" si="1"/>
        <v>4345518998.2236805</v>
      </c>
      <c r="P48" s="507"/>
      <c r="Q48" s="282" t="s">
        <v>428</v>
      </c>
      <c r="R48" s="10"/>
      <c r="S48" s="2"/>
    </row>
    <row r="49" spans="1:19" ht="79.5" customHeight="1" outlineLevel="1" x14ac:dyDescent="0.25">
      <c r="A49" s="225">
        <v>26</v>
      </c>
      <c r="B49" s="495" t="s">
        <v>0</v>
      </c>
      <c r="C49" s="282" t="s">
        <v>180</v>
      </c>
      <c r="D49" s="555" t="s">
        <v>48</v>
      </c>
      <c r="E49" s="500" t="s">
        <v>459</v>
      </c>
      <c r="F49" s="513" t="s">
        <v>430</v>
      </c>
      <c r="G49" s="577" t="s">
        <v>184</v>
      </c>
      <c r="H49" s="287" t="s">
        <v>182</v>
      </c>
      <c r="I49" s="546" t="s">
        <v>26</v>
      </c>
      <c r="J49" s="504">
        <v>8907500</v>
      </c>
      <c r="K49" s="284">
        <v>8907384.7100000009</v>
      </c>
      <c r="L49" s="556" t="s">
        <v>400</v>
      </c>
      <c r="M49" s="284"/>
      <c r="N49" s="284">
        <f>1241236.45+96159781.6/386.38+118034920.8/403.19+119269571.9/387.69+118214384.3/387.64</f>
        <v>2395463.4501183401</v>
      </c>
      <c r="O49" s="578">
        <f t="shared" si="1"/>
        <v>8907384.7100000009</v>
      </c>
      <c r="P49" s="288" t="s">
        <v>185</v>
      </c>
      <c r="Q49" s="370" t="s">
        <v>428</v>
      </c>
      <c r="R49" s="10"/>
      <c r="S49" s="2"/>
    </row>
    <row r="50" spans="1:19" ht="116.25" customHeight="1" outlineLevel="1" thickBot="1" x14ac:dyDescent="0.3">
      <c r="A50" s="225">
        <v>27</v>
      </c>
      <c r="B50" s="367" t="s">
        <v>71</v>
      </c>
      <c r="C50" s="579" t="s">
        <v>180</v>
      </c>
      <c r="D50" s="580"/>
      <c r="E50" s="507"/>
      <c r="F50" s="513" t="s">
        <v>430</v>
      </c>
      <c r="G50" s="577" t="s">
        <v>181</v>
      </c>
      <c r="H50" s="581" t="s">
        <v>182</v>
      </c>
      <c r="I50" s="582" t="s">
        <v>26</v>
      </c>
      <c r="J50" s="583">
        <v>21092500</v>
      </c>
      <c r="K50" s="284">
        <v>21092210.790000003</v>
      </c>
      <c r="L50" s="584" t="s">
        <v>400</v>
      </c>
      <c r="M50" s="284"/>
      <c r="N50" s="284">
        <f>3081286.01+227668040/386.38+279535083/403.19+282423985/387.69+(79661738.3+200263572)/387.64</f>
        <v>5814433.9830596093</v>
      </c>
      <c r="O50" s="585">
        <f t="shared" si="1"/>
        <v>21092210.790000003</v>
      </c>
      <c r="P50" s="288" t="s">
        <v>183</v>
      </c>
      <c r="Q50" s="586" t="s">
        <v>428</v>
      </c>
      <c r="R50" s="10"/>
      <c r="S50" s="2"/>
    </row>
    <row r="51" spans="1:19" s="594" customFormat="1" ht="15" customHeight="1" x14ac:dyDescent="0.25">
      <c r="A51" s="587" t="s">
        <v>158</v>
      </c>
      <c r="B51" s="588"/>
      <c r="C51" s="589"/>
      <c r="D51" s="590"/>
      <c r="E51" s="590"/>
      <c r="F51" s="590"/>
      <c r="G51" s="590"/>
      <c r="H51" s="590"/>
      <c r="I51" s="590" t="s">
        <v>30</v>
      </c>
      <c r="J51" s="591">
        <f>SUMIF($I$5:$I$50,I51,$J$5:$J$50)</f>
        <v>275755742.28000003</v>
      </c>
      <c r="K51" s="591">
        <f>SUMIF($I$5:$I$50,I51,$K$5:$K$50)</f>
        <v>98188339.270000011</v>
      </c>
      <c r="L51" s="591"/>
      <c r="M51" s="591">
        <f>SUMIF($I$5:$I$50,I51,$M$5:$M$50)</f>
        <v>42494307.343892485</v>
      </c>
      <c r="N51" s="591">
        <f>SUMIF($I$5:$I$50,I51,$N$5:$N$50)</f>
        <v>18094860.897632036</v>
      </c>
      <c r="O51" s="591">
        <f>SUMIF($I$5:$I$50,I51,$O$5:$O$50)</f>
        <v>56455600.356107518</v>
      </c>
      <c r="P51" s="592"/>
      <c r="Q51" s="593"/>
      <c r="R51" s="10"/>
      <c r="S51" s="2"/>
    </row>
    <row r="52" spans="1:19" s="594" customFormat="1" ht="15" customHeight="1" x14ac:dyDescent="0.25">
      <c r="A52" s="595"/>
      <c r="B52" s="596"/>
      <c r="C52" s="597"/>
      <c r="D52" s="598"/>
      <c r="E52" s="598"/>
      <c r="F52" s="598"/>
      <c r="G52" s="598"/>
      <c r="H52" s="598"/>
      <c r="I52" s="598" t="s">
        <v>51</v>
      </c>
      <c r="J52" s="599">
        <f>SUMIF($I$5:$I$50,I52,$J$5:$J$50)</f>
        <v>56498515745.900002</v>
      </c>
      <c r="K52" s="599">
        <f>SUMIF($I$5:$I$50,I52,$K$5:$K$50)</f>
        <v>74946765960.600006</v>
      </c>
      <c r="L52" s="599"/>
      <c r="M52" s="599">
        <f>SUMIF($I$5:$I$50,I52,$M$5:$M$50)</f>
        <v>18347991275.676319</v>
      </c>
      <c r="N52" s="599">
        <f>SUMIF($I$5:$I$50,I52,$N$5:$N$50)</f>
        <v>18003894781.62175</v>
      </c>
      <c r="O52" s="599">
        <f>SUMIF($I$5:$I$50,I52,$O$5:$O$50)</f>
        <v>56598774684.923676</v>
      </c>
      <c r="P52" s="600"/>
      <c r="Q52" s="601"/>
      <c r="R52" s="10"/>
      <c r="S52" s="2"/>
    </row>
    <row r="53" spans="1:19" s="594" customFormat="1" ht="15" customHeight="1" x14ac:dyDescent="0.25">
      <c r="A53" s="595"/>
      <c r="B53" s="596"/>
      <c r="C53" s="597"/>
      <c r="D53" s="598"/>
      <c r="E53" s="598"/>
      <c r="F53" s="598"/>
      <c r="G53" s="598"/>
      <c r="H53" s="598"/>
      <c r="I53" s="598" t="s">
        <v>26</v>
      </c>
      <c r="J53" s="599">
        <f>SUMIF($I$5:$I$50,I53,$J$5:$J$50)</f>
        <v>483654882.94</v>
      </c>
      <c r="K53" s="599">
        <f>SUMIF($I$5:$I$50,I53,$K$5:$K$50)</f>
        <v>327114670.51000005</v>
      </c>
      <c r="L53" s="599"/>
      <c r="M53" s="599">
        <f>SUMIF($I$5:$I$50,I53,$M$5:$M$50)</f>
        <v>126040177.15797873</v>
      </c>
      <c r="N53" s="599">
        <f>SUMIF($I$5:$I$50,I53,$N$5:$N$50)</f>
        <v>64492079.365020916</v>
      </c>
      <c r="O53" s="599">
        <f>SUMIF($I$5:$I$50,I53,$O$5:$O$50)</f>
        <v>201074493.35202134</v>
      </c>
      <c r="P53" s="600"/>
      <c r="Q53" s="601"/>
      <c r="R53" s="10"/>
      <c r="S53" s="2"/>
    </row>
    <row r="54" spans="1:19" s="594" customFormat="1" ht="15" customHeight="1" x14ac:dyDescent="0.25">
      <c r="A54" s="595"/>
      <c r="B54" s="596"/>
      <c r="C54" s="597"/>
      <c r="D54" s="602"/>
      <c r="E54" s="602"/>
      <c r="F54" s="602"/>
      <c r="G54" s="602"/>
      <c r="H54" s="602"/>
      <c r="I54" s="602" t="s">
        <v>18</v>
      </c>
      <c r="J54" s="603">
        <f>SUMIF($I$5:$I$50,I54,$J$5:$J$50)</f>
        <v>31777311969</v>
      </c>
      <c r="K54" s="603">
        <f>SUMIF($I$5:$I$50,I54,$K$5:$K$50)</f>
        <v>31859249643</v>
      </c>
      <c r="L54" s="603"/>
      <c r="M54" s="603">
        <f>SUMIF($I$5:$I$50,I54,$M$5:$M$50)</f>
        <v>13318630440.231791</v>
      </c>
      <c r="N54" s="603">
        <f>SUMIF($I$5:$I$50,I54,$N$5:$N$50)</f>
        <v>3728665131.7821455</v>
      </c>
      <c r="O54" s="603">
        <f>SUMIF($I$5:$I$50,I54,$O$5:$O$50)</f>
        <v>18540619202.768208</v>
      </c>
      <c r="P54" s="604"/>
      <c r="Q54" s="605"/>
      <c r="R54" s="10"/>
      <c r="S54" s="2"/>
    </row>
    <row r="55" spans="1:19" s="594" customFormat="1" ht="15" customHeight="1" thickBot="1" x14ac:dyDescent="0.3">
      <c r="A55" s="606"/>
      <c r="B55" s="607"/>
      <c r="C55" s="608"/>
      <c r="D55" s="609"/>
      <c r="E55" s="609"/>
      <c r="F55" s="609"/>
      <c r="G55" s="610"/>
      <c r="H55" s="611"/>
      <c r="I55" s="612" t="s">
        <v>216</v>
      </c>
      <c r="J55" s="613">
        <f>SUMIF($I$5:$I$50,I55,$J$5:$J$50)</f>
        <v>24086688</v>
      </c>
      <c r="K55" s="613">
        <f>SUMIF($I$5:$I$50,I55,$K$5:$K$50)</f>
        <v>18384172.012149811</v>
      </c>
      <c r="L55" s="613"/>
      <c r="M55" s="613">
        <f>SUMIF($I$5:$I$50,I55,$M$5:$M$50)</f>
        <v>4824455.8054339811</v>
      </c>
      <c r="N55" s="613">
        <f>SUMIF($I$5:$I$50,I55,$N$5:$N$50)</f>
        <v>3135419.4621466845</v>
      </c>
      <c r="O55" s="613">
        <f>SUMIF($I$5:$I$50,I55,$O$5:$O$50)</f>
        <v>13559716.206715828</v>
      </c>
      <c r="P55" s="614"/>
      <c r="Q55" s="615"/>
      <c r="R55" s="10"/>
      <c r="S55" s="2"/>
    </row>
    <row r="56" spans="1:19" ht="96.75" customHeight="1" outlineLevel="1" x14ac:dyDescent="0.25">
      <c r="A56" s="511">
        <v>28</v>
      </c>
      <c r="B56" s="512" t="s">
        <v>309</v>
      </c>
      <c r="C56" s="367" t="s">
        <v>171</v>
      </c>
      <c r="D56" s="513" t="s">
        <v>52</v>
      </c>
      <c r="E56" s="577" t="s">
        <v>460</v>
      </c>
      <c r="F56" s="513" t="s">
        <v>430</v>
      </c>
      <c r="G56" s="577" t="s">
        <v>53</v>
      </c>
      <c r="H56" s="577" t="s">
        <v>81</v>
      </c>
      <c r="I56" s="546" t="s">
        <v>30</v>
      </c>
      <c r="J56" s="287">
        <v>5000000</v>
      </c>
      <c r="K56" s="287">
        <v>5000000</v>
      </c>
      <c r="L56" s="520" t="s">
        <v>197</v>
      </c>
      <c r="M56" s="287">
        <f>4166666.69+208333.33+88124985.9/423+87866652.7/421.76+87864653.7/421.75</f>
        <v>5000000.1203959631</v>
      </c>
      <c r="N56" s="287">
        <v>583240</v>
      </c>
      <c r="O56" s="287">
        <f t="shared" ref="O56:O61" si="2">K56-M56</f>
        <v>-0.12039596308022738</v>
      </c>
      <c r="P56" s="517" t="s">
        <v>111</v>
      </c>
      <c r="Q56" s="518" t="s">
        <v>482</v>
      </c>
      <c r="S56" s="2"/>
    </row>
    <row r="57" spans="1:19" ht="86.25" customHeight="1" outlineLevel="1" x14ac:dyDescent="0.25">
      <c r="A57" s="575">
        <v>29</v>
      </c>
      <c r="B57" s="499" t="s">
        <v>306</v>
      </c>
      <c r="C57" s="553" t="s">
        <v>172</v>
      </c>
      <c r="D57" s="616" t="s">
        <v>52</v>
      </c>
      <c r="E57" s="577" t="s">
        <v>461</v>
      </c>
      <c r="F57" s="616" t="s">
        <v>430</v>
      </c>
      <c r="G57" s="617" t="s">
        <v>54</v>
      </c>
      <c r="H57" s="617" t="s">
        <v>82</v>
      </c>
      <c r="I57" s="503" t="s">
        <v>30</v>
      </c>
      <c r="J57" s="284">
        <v>5000000</v>
      </c>
      <c r="K57" s="284">
        <v>5000000</v>
      </c>
      <c r="L57" s="556" t="s">
        <v>197</v>
      </c>
      <c r="M57" s="284">
        <f>3125000+208333.33+88124985.9/423+87866652.7/421.76+87864569.3/421.75</f>
        <v>3958333.2302774102</v>
      </c>
      <c r="N57" s="284">
        <v>427171.1</v>
      </c>
      <c r="O57" s="284">
        <f t="shared" si="2"/>
        <v>1041666.7697225898</v>
      </c>
      <c r="P57" s="500" t="s">
        <v>111</v>
      </c>
      <c r="Q57" s="282" t="s">
        <v>428</v>
      </c>
      <c r="S57" s="2"/>
    </row>
    <row r="58" spans="1:19" ht="84.75" customHeight="1" outlineLevel="1" x14ac:dyDescent="0.25">
      <c r="A58" s="575">
        <v>30</v>
      </c>
      <c r="B58" s="499" t="s">
        <v>306</v>
      </c>
      <c r="C58" s="553"/>
      <c r="D58" s="616" t="s">
        <v>414</v>
      </c>
      <c r="E58" s="368"/>
      <c r="F58" s="616" t="s">
        <v>431</v>
      </c>
      <c r="G58" s="617"/>
      <c r="H58" s="617"/>
      <c r="I58" s="618" t="s">
        <v>51</v>
      </c>
      <c r="J58" s="284"/>
      <c r="K58" s="284">
        <v>66094595</v>
      </c>
      <c r="L58" s="556" t="s">
        <v>197</v>
      </c>
      <c r="M58" s="284">
        <f>6609471.44+6609433.4+6609473.7+6609459.5+6609459.5</f>
        <v>33047297.539999999</v>
      </c>
      <c r="N58" s="284">
        <v>4464832.2977352943</v>
      </c>
      <c r="O58" s="284">
        <f t="shared" si="2"/>
        <v>33047297.460000001</v>
      </c>
      <c r="P58" s="507"/>
      <c r="Q58" s="282" t="s">
        <v>428</v>
      </c>
      <c r="S58" s="2"/>
    </row>
    <row r="59" spans="1:19" ht="89.25" customHeight="1" outlineLevel="1" x14ac:dyDescent="0.25">
      <c r="A59" s="225">
        <v>31</v>
      </c>
      <c r="B59" s="495" t="s">
        <v>307</v>
      </c>
      <c r="C59" s="282" t="s">
        <v>173</v>
      </c>
      <c r="D59" s="368" t="s">
        <v>56</v>
      </c>
      <c r="E59" s="552" t="s">
        <v>462</v>
      </c>
      <c r="F59" s="368" t="s">
        <v>430</v>
      </c>
      <c r="G59" s="552" t="s">
        <v>55</v>
      </c>
      <c r="H59" s="552" t="s">
        <v>83</v>
      </c>
      <c r="I59" s="503" t="s">
        <v>30</v>
      </c>
      <c r="J59" s="284">
        <v>5000000</v>
      </c>
      <c r="K59" s="284">
        <v>5000000</v>
      </c>
      <c r="L59" s="290" t="s">
        <v>197</v>
      </c>
      <c r="M59" s="284">
        <f>3227272.74+97124988.4/427.35+96136352.1/423+95854533.9/421.76+95852303.4/421.75</f>
        <v>4136363.6400054074</v>
      </c>
      <c r="N59" s="284">
        <f>475298.336411511+13707853.3/421.76+10793552.6/421.75</f>
        <v>533392.18557454634</v>
      </c>
      <c r="O59" s="284">
        <f t="shared" si="2"/>
        <v>863636.35999459261</v>
      </c>
      <c r="P59" s="291" t="s">
        <v>111</v>
      </c>
      <c r="Q59" s="369" t="s">
        <v>428</v>
      </c>
      <c r="S59" s="2"/>
    </row>
    <row r="60" spans="1:19" ht="57" customHeight="1" outlineLevel="1" x14ac:dyDescent="0.25">
      <c r="A60" s="498">
        <v>32</v>
      </c>
      <c r="B60" s="499" t="s">
        <v>308</v>
      </c>
      <c r="C60" s="500" t="s">
        <v>174</v>
      </c>
      <c r="D60" s="616" t="s">
        <v>56</v>
      </c>
      <c r="E60" s="552" t="s">
        <v>463</v>
      </c>
      <c r="F60" s="616" t="s">
        <v>430</v>
      </c>
      <c r="G60" s="617" t="s">
        <v>57</v>
      </c>
      <c r="H60" s="617" t="s">
        <v>84</v>
      </c>
      <c r="I60" s="618" t="s">
        <v>30</v>
      </c>
      <c r="J60" s="619">
        <v>5000000</v>
      </c>
      <c r="K60" s="284">
        <f>3000000+2000000</f>
        <v>5000000</v>
      </c>
      <c r="L60" s="620" t="s">
        <v>378</v>
      </c>
      <c r="M60" s="284">
        <f>676724.137931034+46797420.6/423+46660236.7/421.76+46659130.4/421.75</f>
        <v>1008620.738115976</v>
      </c>
      <c r="N60" s="284">
        <v>264937.42719531193</v>
      </c>
      <c r="O60" s="619">
        <f t="shared" si="2"/>
        <v>3991379.2618840239</v>
      </c>
      <c r="P60" s="500" t="s">
        <v>111</v>
      </c>
      <c r="Q60" s="369" t="s">
        <v>428</v>
      </c>
      <c r="S60" s="2"/>
    </row>
    <row r="61" spans="1:19" ht="57" customHeight="1" outlineLevel="1" thickBot="1" x14ac:dyDescent="0.3">
      <c r="A61" s="621"/>
      <c r="B61" s="499" t="s">
        <v>308</v>
      </c>
      <c r="C61" s="622"/>
      <c r="D61" s="616" t="s">
        <v>414</v>
      </c>
      <c r="E61" s="616"/>
      <c r="F61" s="616" t="s">
        <v>431</v>
      </c>
      <c r="G61" s="617" t="s">
        <v>57</v>
      </c>
      <c r="H61" s="617" t="s">
        <v>356</v>
      </c>
      <c r="I61" s="618" t="s">
        <v>51</v>
      </c>
      <c r="J61" s="619"/>
      <c r="K61" s="284">
        <v>168935081.21000001</v>
      </c>
      <c r="L61" s="620">
        <v>1.404E-2</v>
      </c>
      <c r="M61" s="284">
        <f>9751561.92837819+3148517+4073473.9+4413816.1</f>
        <v>21387368.928378187</v>
      </c>
      <c r="N61" s="284">
        <v>2860113.026823787</v>
      </c>
      <c r="O61" s="619">
        <f t="shared" si="2"/>
        <v>147547712.28162181</v>
      </c>
      <c r="P61" s="622"/>
      <c r="Q61" s="623" t="s">
        <v>428</v>
      </c>
      <c r="S61" s="2"/>
    </row>
    <row r="62" spans="1:19" s="594" customFormat="1" ht="15" customHeight="1" x14ac:dyDescent="0.25">
      <c r="A62" s="587" t="s">
        <v>159</v>
      </c>
      <c r="B62" s="588"/>
      <c r="C62" s="589"/>
      <c r="D62" s="624"/>
      <c r="E62" s="624"/>
      <c r="F62" s="590"/>
      <c r="G62" s="590"/>
      <c r="H62" s="590"/>
      <c r="I62" s="590" t="s">
        <v>30</v>
      </c>
      <c r="J62" s="591">
        <f>SUMIF($I$56:$I$61,I62,$J$56:$J$61)</f>
        <v>20000000</v>
      </c>
      <c r="K62" s="591">
        <f>SUMIF($I$56:$I$61,I62,$K$56:$K$61)</f>
        <v>20000000</v>
      </c>
      <c r="L62" s="625"/>
      <c r="M62" s="591">
        <f>SUMIF($I$56:$I$61,I62,$M$56:$M$61)</f>
        <v>14103317.728794757</v>
      </c>
      <c r="N62" s="591">
        <f>SUMIF($I$56:$I$61,I62,$N$56:$N$61)</f>
        <v>1808740.7127698583</v>
      </c>
      <c r="O62" s="591">
        <f>SUMIF($I$56:$I$61,I62,$O$56:$O$61)</f>
        <v>5896682.2712052427</v>
      </c>
      <c r="P62" s="592"/>
      <c r="Q62" s="593"/>
      <c r="R62" s="10"/>
      <c r="S62" s="2"/>
    </row>
    <row r="63" spans="1:19" s="594" customFormat="1" ht="15" customHeight="1" x14ac:dyDescent="0.25">
      <c r="A63" s="595"/>
      <c r="B63" s="596"/>
      <c r="C63" s="597"/>
      <c r="D63" s="562"/>
      <c r="E63" s="562"/>
      <c r="F63" s="598"/>
      <c r="G63" s="598"/>
      <c r="H63" s="598"/>
      <c r="I63" s="598" t="s">
        <v>51</v>
      </c>
      <c r="J63" s="599">
        <f>SUMIF($I$56:$I$61,I63,$J$56:$J$61)</f>
        <v>0</v>
      </c>
      <c r="K63" s="599">
        <f>SUMIF($I$56:$I$61,I63,$K$56:$K$61)</f>
        <v>235029676.21000001</v>
      </c>
      <c r="L63" s="599"/>
      <c r="M63" s="599">
        <f>SUMIF($I$56:$I$61,I63,$M$56:$M$61)</f>
        <v>54434666.468378186</v>
      </c>
      <c r="N63" s="599">
        <f>SUMIF($I$56:$I$61,I63,$N$56:$N$61)</f>
        <v>7324945.3245590813</v>
      </c>
      <c r="O63" s="599">
        <f>SUMIF($I$56:$I$61,I63,$O$56:$O$61)</f>
        <v>180595009.74162182</v>
      </c>
      <c r="P63" s="600"/>
      <c r="Q63" s="601"/>
      <c r="R63" s="10"/>
      <c r="S63" s="2"/>
    </row>
    <row r="64" spans="1:19" s="594" customFormat="1" ht="15" customHeight="1" x14ac:dyDescent="0.25">
      <c r="A64" s="595"/>
      <c r="B64" s="596"/>
      <c r="C64" s="597"/>
      <c r="D64" s="562"/>
      <c r="E64" s="562"/>
      <c r="F64" s="598"/>
      <c r="G64" s="598"/>
      <c r="H64" s="598"/>
      <c r="I64" s="598" t="s">
        <v>26</v>
      </c>
      <c r="J64" s="599">
        <f>SUMIF($I$56:$I$61,I64,$J$56:$J$61)</f>
        <v>0</v>
      </c>
      <c r="K64" s="599">
        <f>SUMIF($I$56:$I$61,I64,$K$56:$K$61)</f>
        <v>0</v>
      </c>
      <c r="L64" s="599"/>
      <c r="M64" s="599">
        <f>SUMIF($I$56:$I$61,I64,$M$56:$M$61)</f>
        <v>0</v>
      </c>
      <c r="N64" s="599">
        <f>SUMIF($I$56:$I$61,I64,$N$56:$N$61)</f>
        <v>0</v>
      </c>
      <c r="O64" s="599">
        <f>SUMIF($I$56:$I$61,I64,$O$56:$O$61)</f>
        <v>0</v>
      </c>
      <c r="P64" s="600"/>
      <c r="Q64" s="601"/>
      <c r="R64" s="10"/>
      <c r="S64" s="2"/>
    </row>
    <row r="65" spans="1:19" s="594" customFormat="1" ht="15" customHeight="1" thickBot="1" x14ac:dyDescent="0.3">
      <c r="A65" s="606"/>
      <c r="B65" s="607"/>
      <c r="C65" s="608"/>
      <c r="D65" s="626"/>
      <c r="E65" s="626"/>
      <c r="F65" s="609"/>
      <c r="G65" s="609"/>
      <c r="H65" s="609"/>
      <c r="I65" s="609" t="s">
        <v>18</v>
      </c>
      <c r="J65" s="613">
        <f>SUMIF($I$56:$I$61,I65,$J$56:$J$61)</f>
        <v>0</v>
      </c>
      <c r="K65" s="613">
        <f>SUMIF($I$56:$I$61,I65,$K$56:$K$61)</f>
        <v>0</v>
      </c>
      <c r="L65" s="613"/>
      <c r="M65" s="613">
        <f>SUMIF($I$56:$I$61,I65,$M$56:$M$61)</f>
        <v>0</v>
      </c>
      <c r="N65" s="613">
        <f>SUMIF($I$56:$I$61,I65,$N$56:$N$61)</f>
        <v>0</v>
      </c>
      <c r="O65" s="613">
        <f>SUMIF($I$56:$I$61,I65,$O$56:$O$61)</f>
        <v>0</v>
      </c>
      <c r="P65" s="614"/>
      <c r="Q65" s="615"/>
      <c r="R65" s="10"/>
      <c r="S65" s="2"/>
    </row>
    <row r="66" spans="1:19" s="6" customFormat="1" ht="91.5" customHeight="1" outlineLevel="1" x14ac:dyDescent="0.25">
      <c r="A66" s="225">
        <v>33</v>
      </c>
      <c r="B66" s="282" t="s">
        <v>100</v>
      </c>
      <c r="C66" s="282" t="s">
        <v>101</v>
      </c>
      <c r="D66" s="367" t="s">
        <v>417</v>
      </c>
      <c r="E66" s="367"/>
      <c r="F66" s="368" t="s">
        <v>405</v>
      </c>
      <c r="G66" s="289" t="s">
        <v>102</v>
      </c>
      <c r="H66" s="282" t="s">
        <v>215</v>
      </c>
      <c r="I66" s="282" t="s">
        <v>51</v>
      </c>
      <c r="J66" s="284">
        <v>74000000000</v>
      </c>
      <c r="K66" s="284">
        <v>74000000000</v>
      </c>
      <c r="L66" s="290" t="s">
        <v>67</v>
      </c>
      <c r="M66" s="284">
        <f>38761904762.2+1761904761.9+1761904761.9+1761904761.9+1761904761.9+1761904761.9+1761904761.9+1761904761.9+1761904761.9+1761904761.9+1761904761.9+1761904761.9+1761904761.9+1761904761.9+1761904761.9+1761904761.9+1761904762+1761904762</f>
        <v>68714285714.70002</v>
      </c>
      <c r="N66" s="284">
        <f>27971909177.5+338144.2+498915.4+526901.3+642474.8+795979.5+10421637.5+1734045.9+86178.9+156588.3+335841+256258.7+369392+1307877+6082866+2634+4444.2+89905.9</f>
        <v>27995559262.100006</v>
      </c>
      <c r="O66" s="286">
        <f>K66-M66</f>
        <v>5285714285.2999802</v>
      </c>
      <c r="P66" s="291" t="s">
        <v>111</v>
      </c>
      <c r="Q66" s="369" t="s">
        <v>428</v>
      </c>
      <c r="R66" s="5"/>
      <c r="S66" s="2"/>
    </row>
    <row r="67" spans="1:19" s="6" customFormat="1" ht="91.5" customHeight="1" outlineLevel="1" x14ac:dyDescent="0.25">
      <c r="A67" s="225">
        <v>34</v>
      </c>
      <c r="B67" s="282" t="s">
        <v>100</v>
      </c>
      <c r="C67" s="282" t="s">
        <v>131</v>
      </c>
      <c r="D67" s="282" t="s">
        <v>61</v>
      </c>
      <c r="E67" s="282"/>
      <c r="F67" s="368" t="s">
        <v>405</v>
      </c>
      <c r="G67" s="289" t="s">
        <v>133</v>
      </c>
      <c r="H67" s="282" t="s">
        <v>134</v>
      </c>
      <c r="I67" s="282" t="s">
        <v>51</v>
      </c>
      <c r="J67" s="284">
        <v>2035890300</v>
      </c>
      <c r="K67" s="284">
        <v>2035890300</v>
      </c>
      <c r="L67" s="290" t="s">
        <v>98</v>
      </c>
      <c r="M67" s="284">
        <v>0</v>
      </c>
      <c r="N67" s="284">
        <v>0</v>
      </c>
      <c r="O67" s="286">
        <f t="shared" ref="O67:O72" si="3">K67-M67</f>
        <v>2035890300</v>
      </c>
      <c r="P67" s="291" t="s">
        <v>111</v>
      </c>
      <c r="Q67" s="369" t="s">
        <v>428</v>
      </c>
      <c r="R67" s="5"/>
      <c r="S67" s="2"/>
    </row>
    <row r="68" spans="1:19" ht="81" outlineLevel="1" x14ac:dyDescent="0.25">
      <c r="A68" s="511">
        <v>35</v>
      </c>
      <c r="B68" s="495" t="s">
        <v>3</v>
      </c>
      <c r="C68" s="282" t="s">
        <v>4</v>
      </c>
      <c r="D68" s="368" t="s">
        <v>61</v>
      </c>
      <c r="E68" s="368" t="s">
        <v>439</v>
      </c>
      <c r="F68" s="368" t="s">
        <v>430</v>
      </c>
      <c r="G68" s="289" t="s">
        <v>360</v>
      </c>
      <c r="H68" s="368" t="s">
        <v>80</v>
      </c>
      <c r="I68" s="503" t="s">
        <v>30</v>
      </c>
      <c r="J68" s="284">
        <v>3500000</v>
      </c>
      <c r="K68" s="284">
        <v>3500000</v>
      </c>
      <c r="L68" s="290">
        <v>7.4999999999999997E-3</v>
      </c>
      <c r="M68" s="284">
        <f>696000+31440060/542.07+58000+24255020/418.19+24400600/420.7+25920780/446.91+24152360/416.42+23862360/411.42</f>
        <v>1102000</v>
      </c>
      <c r="N68" s="284">
        <f>399592.922231146+10515+10297.5+4215355.2/418.19+4149153.8/420.7+4310447/446.91+3925799.6/416.42+3789178.2/411.42</f>
        <v>468630.42258194601</v>
      </c>
      <c r="O68" s="286">
        <f t="shared" si="3"/>
        <v>2398000</v>
      </c>
      <c r="P68" s="291" t="s">
        <v>111</v>
      </c>
      <c r="Q68" s="369" t="s">
        <v>428</v>
      </c>
      <c r="S68" s="2"/>
    </row>
    <row r="69" spans="1:19" ht="128.25" customHeight="1" outlineLevel="1" x14ac:dyDescent="0.25">
      <c r="A69" s="225">
        <v>36</v>
      </c>
      <c r="B69" s="495" t="s">
        <v>118</v>
      </c>
      <c r="C69" s="282" t="s">
        <v>122</v>
      </c>
      <c r="D69" s="282" t="s">
        <v>8</v>
      </c>
      <c r="E69" s="282"/>
      <c r="F69" s="368" t="s">
        <v>405</v>
      </c>
      <c r="G69" s="550" t="s">
        <v>119</v>
      </c>
      <c r="H69" s="368" t="s">
        <v>177</v>
      </c>
      <c r="I69" s="503" t="s">
        <v>26</v>
      </c>
      <c r="J69" s="286">
        <v>1689937.9</v>
      </c>
      <c r="K69" s="284">
        <v>1689937.9</v>
      </c>
      <c r="L69" s="570">
        <v>5.9900000000000002E-2</v>
      </c>
      <c r="M69" s="284">
        <f>872805.23+28165+28165+28165+28165</f>
        <v>985465.23</v>
      </c>
      <c r="N69" s="284">
        <f>1964862.47+25588.58+24871.58+24276.42+23029.84</f>
        <v>2062628.8900000001</v>
      </c>
      <c r="O69" s="286">
        <f t="shared" si="3"/>
        <v>704472.66999999993</v>
      </c>
      <c r="P69" s="627" t="s">
        <v>111</v>
      </c>
      <c r="Q69" s="628" t="s">
        <v>428</v>
      </c>
      <c r="S69" s="2"/>
    </row>
    <row r="70" spans="1:19" ht="98.25" customHeight="1" outlineLevel="1" x14ac:dyDescent="0.25">
      <c r="A70" s="511">
        <v>37</v>
      </c>
      <c r="B70" s="495" t="s">
        <v>120</v>
      </c>
      <c r="C70" s="282" t="s">
        <v>123</v>
      </c>
      <c r="D70" s="282" t="s">
        <v>8</v>
      </c>
      <c r="E70" s="282"/>
      <c r="F70" s="368" t="s">
        <v>405</v>
      </c>
      <c r="G70" s="550" t="s">
        <v>121</v>
      </c>
      <c r="H70" s="368" t="s">
        <v>178</v>
      </c>
      <c r="I70" s="503" t="s">
        <v>26</v>
      </c>
      <c r="J70" s="286">
        <v>2828000</v>
      </c>
      <c r="K70" s="284">
        <v>2828000</v>
      </c>
      <c r="L70" s="570">
        <v>5.9900000000000002E-2</v>
      </c>
      <c r="M70" s="286">
        <f>1128831.5+47000+47000+47000</f>
        <v>1269831.5</v>
      </c>
      <c r="N70" s="284">
        <f>1731608.85+50775.51+49371.71+48231.48</f>
        <v>1879987.55</v>
      </c>
      <c r="O70" s="286">
        <f t="shared" si="3"/>
        <v>1558168.5</v>
      </c>
      <c r="P70" s="627" t="s">
        <v>111</v>
      </c>
      <c r="Q70" s="628" t="s">
        <v>428</v>
      </c>
      <c r="S70" s="2"/>
    </row>
    <row r="71" spans="1:19" s="215" customFormat="1" ht="140.25" customHeight="1" outlineLevel="1" x14ac:dyDescent="0.25">
      <c r="A71" s="225">
        <v>38</v>
      </c>
      <c r="B71" s="495" t="s">
        <v>114</v>
      </c>
      <c r="C71" s="282" t="s">
        <v>115</v>
      </c>
      <c r="D71" s="282" t="s">
        <v>8</v>
      </c>
      <c r="E71" s="282"/>
      <c r="F71" s="368" t="s">
        <v>405</v>
      </c>
      <c r="G71" s="368" t="s">
        <v>116</v>
      </c>
      <c r="H71" s="368" t="s">
        <v>117</v>
      </c>
      <c r="I71" s="282" t="s">
        <v>51</v>
      </c>
      <c r="J71" s="516">
        <v>2092000000</v>
      </c>
      <c r="K71" s="284">
        <v>2092000000</v>
      </c>
      <c r="L71" s="629">
        <v>0.02</v>
      </c>
      <c r="M71" s="284">
        <f>354576270+35457627.1+35457627+35457627+35457627+35457627.12</f>
        <v>531864405.22000003</v>
      </c>
      <c r="N71" s="284">
        <f>426427783.87+17517039.3+16879773.4+16802058.1+16265822.2+16087076.86</f>
        <v>509979553.73000002</v>
      </c>
      <c r="O71" s="286">
        <f t="shared" si="3"/>
        <v>1560135594.78</v>
      </c>
      <c r="P71" s="627" t="s">
        <v>111</v>
      </c>
      <c r="Q71" s="628" t="s">
        <v>428</v>
      </c>
      <c r="R71" s="214"/>
      <c r="S71" s="2"/>
    </row>
    <row r="72" spans="1:19" s="215" customFormat="1" ht="151.5" customHeight="1" outlineLevel="1" thickBot="1" x14ac:dyDescent="0.3">
      <c r="A72" s="630">
        <v>39</v>
      </c>
      <c r="B72" s="631" t="s">
        <v>114</v>
      </c>
      <c r="C72" s="522" t="s">
        <v>212</v>
      </c>
      <c r="D72" s="522" t="s">
        <v>8</v>
      </c>
      <c r="E72" s="522"/>
      <c r="F72" s="523" t="s">
        <v>405</v>
      </c>
      <c r="G72" s="523" t="s">
        <v>213</v>
      </c>
      <c r="H72" s="523" t="s">
        <v>214</v>
      </c>
      <c r="I72" s="523" t="s">
        <v>51</v>
      </c>
      <c r="J72" s="632">
        <v>2187306400</v>
      </c>
      <c r="K72" s="632">
        <v>2187306400</v>
      </c>
      <c r="L72" s="633">
        <v>0.03</v>
      </c>
      <c r="M72" s="634">
        <v>75424358.620000005</v>
      </c>
      <c r="N72" s="634">
        <f>224789707.9+33079263.9+32539928.1+33079263.9+32719706.7+33079263.9</f>
        <v>389287134.39999998</v>
      </c>
      <c r="O72" s="635">
        <f t="shared" si="3"/>
        <v>2111882041.3800001</v>
      </c>
      <c r="P72" s="636" t="s">
        <v>111</v>
      </c>
      <c r="Q72" s="637" t="s">
        <v>428</v>
      </c>
      <c r="R72" s="214"/>
      <c r="S72" s="2"/>
    </row>
    <row r="73" spans="1:19" s="594" customFormat="1" ht="15" customHeight="1" x14ac:dyDescent="0.25">
      <c r="A73" s="595" t="s">
        <v>160</v>
      </c>
      <c r="B73" s="596"/>
      <c r="C73" s="597"/>
      <c r="D73" s="638"/>
      <c r="E73" s="638"/>
      <c r="F73" s="639"/>
      <c r="G73" s="639"/>
      <c r="H73" s="639"/>
      <c r="I73" s="639" t="s">
        <v>30</v>
      </c>
      <c r="J73" s="640">
        <f>SUMIF($I$66:$I$72,I73,$J$66:$J$72)</f>
        <v>3500000</v>
      </c>
      <c r="K73" s="640">
        <f>SUMIF($I$66:$I$72,I73,$K$66:$K$72)</f>
        <v>3500000</v>
      </c>
      <c r="L73" s="640"/>
      <c r="M73" s="640">
        <f>SUMIF($I$66:$I$72,I73,$M$66:$M$72)</f>
        <v>1102000</v>
      </c>
      <c r="N73" s="640">
        <f>SUMIF($I$66:$I$72,I73,$N$66:$N$72)</f>
        <v>468630.42258194601</v>
      </c>
      <c r="O73" s="640">
        <f>SUMIF($I$66:$I$72,I73,$O$66:$O$72)</f>
        <v>2398000</v>
      </c>
      <c r="P73" s="641"/>
      <c r="Q73" s="593"/>
      <c r="R73" s="10"/>
      <c r="S73" s="2"/>
    </row>
    <row r="74" spans="1:19" s="594" customFormat="1" ht="15" customHeight="1" x14ac:dyDescent="0.25">
      <c r="A74" s="595"/>
      <c r="B74" s="596"/>
      <c r="C74" s="597"/>
      <c r="D74" s="562"/>
      <c r="E74" s="562"/>
      <c r="F74" s="598"/>
      <c r="G74" s="598"/>
      <c r="H74" s="598"/>
      <c r="I74" s="598" t="s">
        <v>51</v>
      </c>
      <c r="J74" s="599">
        <f>SUMIF($I$66:$I$72,I74,$J$66:$J$72)</f>
        <v>80315196700</v>
      </c>
      <c r="K74" s="599">
        <f>SUMIF($I$66:$I$72,I74,$K$66:$K$72)</f>
        <v>80315196700</v>
      </c>
      <c r="L74" s="599"/>
      <c r="M74" s="599">
        <f>SUMIF($I$66:$I$72,I74,$M$66:$M$72)</f>
        <v>69321574478.540009</v>
      </c>
      <c r="N74" s="599">
        <f>SUMIF($I$66:$I$72,I74,$N$66:$N$72)</f>
        <v>28894825950.230007</v>
      </c>
      <c r="O74" s="599">
        <f>SUMIF($I$66:$I$72,I74,$O$66:$O$72)</f>
        <v>10993622221.45998</v>
      </c>
      <c r="P74" s="600"/>
      <c r="Q74" s="601"/>
      <c r="R74" s="10"/>
      <c r="S74" s="2"/>
    </row>
    <row r="75" spans="1:19" s="594" customFormat="1" ht="15" customHeight="1" x14ac:dyDescent="0.25">
      <c r="A75" s="595"/>
      <c r="B75" s="596"/>
      <c r="C75" s="597"/>
      <c r="D75" s="562"/>
      <c r="E75" s="562"/>
      <c r="F75" s="598"/>
      <c r="G75" s="598"/>
      <c r="H75" s="598"/>
      <c r="I75" s="598" t="s">
        <v>26</v>
      </c>
      <c r="J75" s="599">
        <f>SUMIF($I$66:$I$72,I75,$J$66:$J$72)</f>
        <v>4517937.9000000004</v>
      </c>
      <c r="K75" s="599">
        <f>SUMIF($I$66:$I$72,I75,$K$66:$K$72)</f>
        <v>4517937.9000000004</v>
      </c>
      <c r="L75" s="599"/>
      <c r="M75" s="599">
        <f>SUMIF($I$66:$I$72,I75,$M$66:$M$72)</f>
        <v>2255296.73</v>
      </c>
      <c r="N75" s="599">
        <f>SUMIF($I$66:$I$72,I75,$N$66:$N$72)</f>
        <v>3942616.4400000004</v>
      </c>
      <c r="O75" s="599">
        <f>SUMIF($I$66:$I$72,I75,$O$66:$O$72)</f>
        <v>2262641.17</v>
      </c>
      <c r="P75" s="600"/>
      <c r="Q75" s="601"/>
      <c r="R75" s="10"/>
      <c r="S75" s="2"/>
    </row>
    <row r="76" spans="1:19" s="594" customFormat="1" ht="15" customHeight="1" thickBot="1" x14ac:dyDescent="0.3">
      <c r="A76" s="606"/>
      <c r="B76" s="607"/>
      <c r="C76" s="608"/>
      <c r="D76" s="626"/>
      <c r="E76" s="626"/>
      <c r="F76" s="609"/>
      <c r="G76" s="609"/>
      <c r="H76" s="609"/>
      <c r="I76" s="609" t="s">
        <v>18</v>
      </c>
      <c r="J76" s="613">
        <f>SUMIF($I$66:$I$72,I76,$J$66:$J$72)</f>
        <v>0</v>
      </c>
      <c r="K76" s="613">
        <f>SUMIF($I$66:$I$72,I76,$K$66:$K$72)</f>
        <v>0</v>
      </c>
      <c r="L76" s="613"/>
      <c r="M76" s="613">
        <f>SUMIF($I$66:$I$72,I76,$M$66:$M$72)</f>
        <v>0</v>
      </c>
      <c r="N76" s="613">
        <f>SUMIF($I$66:$I$72,I76,$N$66:$N$72)</f>
        <v>0</v>
      </c>
      <c r="O76" s="613">
        <f>SUMIF($I$66:$I$72,I76,$O$66:$O$72)</f>
        <v>0</v>
      </c>
      <c r="P76" s="614"/>
      <c r="Q76" s="615"/>
      <c r="R76" s="10"/>
      <c r="S76" s="2"/>
    </row>
    <row r="77" spans="1:19" s="6" customFormat="1" ht="77.25" customHeight="1" outlineLevel="1" x14ac:dyDescent="0.25">
      <c r="A77" s="225">
        <v>40</v>
      </c>
      <c r="B77" s="495" t="s">
        <v>124</v>
      </c>
      <c r="C77" s="282" t="s">
        <v>107</v>
      </c>
      <c r="D77" s="367" t="s">
        <v>106</v>
      </c>
      <c r="E77" s="367"/>
      <c r="F77" s="513" t="s">
        <v>488</v>
      </c>
      <c r="G77" s="367" t="s">
        <v>135</v>
      </c>
      <c r="H77" s="282" t="s">
        <v>231</v>
      </c>
      <c r="I77" s="503" t="s">
        <v>26</v>
      </c>
      <c r="J77" s="284">
        <v>361332</v>
      </c>
      <c r="K77" s="284">
        <v>361332</v>
      </c>
      <c r="L77" s="290">
        <v>7.7700000000000005E-2</v>
      </c>
      <c r="M77" s="284">
        <f>219031+1000000/388.24</f>
        <v>221606.72635483206</v>
      </c>
      <c r="N77" s="284">
        <f>187530</f>
        <v>187530</v>
      </c>
      <c r="O77" s="286">
        <f>K77-M77</f>
        <v>139725.27364516794</v>
      </c>
      <c r="P77" s="291" t="s">
        <v>127</v>
      </c>
      <c r="Q77" s="518" t="s">
        <v>433</v>
      </c>
      <c r="R77" s="5"/>
      <c r="S77" s="2"/>
    </row>
    <row r="78" spans="1:19" ht="64.5" customHeight="1" outlineLevel="1" x14ac:dyDescent="0.25">
      <c r="A78" s="225">
        <v>41</v>
      </c>
      <c r="B78" s="495" t="s">
        <v>219</v>
      </c>
      <c r="C78" s="282" t="s">
        <v>238</v>
      </c>
      <c r="D78" s="616" t="s">
        <v>52</v>
      </c>
      <c r="E78" s="616"/>
      <c r="F78" s="616" t="s">
        <v>430</v>
      </c>
      <c r="G78" s="552" t="s">
        <v>220</v>
      </c>
      <c r="H78" s="284" t="s">
        <v>221</v>
      </c>
      <c r="I78" s="503" t="s">
        <v>30</v>
      </c>
      <c r="J78" s="284">
        <v>8000000</v>
      </c>
      <c r="K78" s="284">
        <v>80000</v>
      </c>
      <c r="L78" s="290" t="s">
        <v>98</v>
      </c>
      <c r="M78" s="284">
        <f>10909.09+3636.36+3636.36+1428217/392.76+1554016/427.35+3636.4+3632.85+3636.4</f>
        <v>36360.221703756208</v>
      </c>
      <c r="N78" s="284">
        <f>105386.95+361.72+42360.02+4761284/392.76+5116448/427.35+12019.8+11989.6+11973.65</f>
        <v>208186.86988818215</v>
      </c>
      <c r="O78" s="286">
        <f>K78-M78</f>
        <v>43639.778296243792</v>
      </c>
      <c r="P78" s="291" t="s">
        <v>222</v>
      </c>
      <c r="Q78" s="369" t="s">
        <v>428</v>
      </c>
      <c r="S78" s="2"/>
    </row>
    <row r="79" spans="1:19" ht="63" customHeight="1" outlineLevel="1" x14ac:dyDescent="0.25">
      <c r="A79" s="225">
        <v>42</v>
      </c>
      <c r="B79" s="495" t="s">
        <v>219</v>
      </c>
      <c r="C79" s="282" t="s">
        <v>239</v>
      </c>
      <c r="D79" s="616" t="s">
        <v>56</v>
      </c>
      <c r="E79" s="616"/>
      <c r="F79" s="616" t="s">
        <v>430</v>
      </c>
      <c r="G79" s="552" t="s">
        <v>223</v>
      </c>
      <c r="H79" s="284" t="s">
        <v>221</v>
      </c>
      <c r="I79" s="503" t="s">
        <v>30</v>
      </c>
      <c r="J79" s="284">
        <v>8000000</v>
      </c>
      <c r="K79" s="284"/>
      <c r="L79" s="290" t="s">
        <v>98</v>
      </c>
      <c r="M79" s="284"/>
      <c r="N79" s="284"/>
      <c r="O79" s="286">
        <f>K79-M79</f>
        <v>0</v>
      </c>
      <c r="P79" s="291" t="s">
        <v>222</v>
      </c>
      <c r="Q79" s="369" t="s">
        <v>428</v>
      </c>
      <c r="S79" s="2"/>
    </row>
    <row r="80" spans="1:19" ht="71.25" customHeight="1" outlineLevel="1" x14ac:dyDescent="0.25">
      <c r="A80" s="498">
        <v>43</v>
      </c>
      <c r="B80" s="566" t="s">
        <v>274</v>
      </c>
      <c r="C80" s="500" t="s">
        <v>357</v>
      </c>
      <c r="D80" s="616" t="s">
        <v>52</v>
      </c>
      <c r="E80" s="616"/>
      <c r="F80" s="616" t="s">
        <v>430</v>
      </c>
      <c r="G80" s="552" t="s">
        <v>275</v>
      </c>
      <c r="H80" s="500" t="s">
        <v>358</v>
      </c>
      <c r="I80" s="503" t="s">
        <v>30</v>
      </c>
      <c r="J80" s="284">
        <v>5500000</v>
      </c>
      <c r="K80" s="284">
        <f>1384955.78+492272.39+301757.1+219245.55+25340.75+40551.45+228066.75+500000</f>
        <v>3192189.77</v>
      </c>
      <c r="L80" s="290" t="s">
        <v>98</v>
      </c>
      <c r="M80" s="284"/>
      <c r="N80" s="284"/>
      <c r="O80" s="286">
        <f t="shared" ref="O80:O104" si="4">K80-M80</f>
        <v>3192189.77</v>
      </c>
      <c r="P80" s="291" t="s">
        <v>111</v>
      </c>
      <c r="Q80" s="369" t="s">
        <v>433</v>
      </c>
      <c r="S80" s="2"/>
    </row>
    <row r="81" spans="1:19" ht="74.25" customHeight="1" outlineLevel="1" x14ac:dyDescent="0.25">
      <c r="A81" s="506"/>
      <c r="B81" s="567"/>
      <c r="C81" s="507"/>
      <c r="D81" s="616" t="s">
        <v>414</v>
      </c>
      <c r="E81" s="616"/>
      <c r="F81" s="616" t="s">
        <v>431</v>
      </c>
      <c r="G81" s="552"/>
      <c r="H81" s="507"/>
      <c r="I81" s="368" t="s">
        <v>51</v>
      </c>
      <c r="J81" s="284">
        <v>92733053.200000003</v>
      </c>
      <c r="K81" s="284">
        <f>92733053.2+20276600+1679251+16492341.9+20399976.4+42969092+26833268.5</f>
        <v>221383583</v>
      </c>
      <c r="L81" s="290"/>
      <c r="M81" s="284"/>
      <c r="N81" s="284"/>
      <c r="O81" s="286">
        <f t="shared" si="4"/>
        <v>221383583</v>
      </c>
      <c r="P81" s="291"/>
      <c r="Q81" s="369" t="s">
        <v>433</v>
      </c>
      <c r="S81" s="2"/>
    </row>
    <row r="82" spans="1:19" ht="80.25" customHeight="1" outlineLevel="1" x14ac:dyDescent="0.25">
      <c r="A82" s="225">
        <v>44</v>
      </c>
      <c r="B82" s="495" t="s">
        <v>74</v>
      </c>
      <c r="C82" s="282" t="s">
        <v>129</v>
      </c>
      <c r="D82" s="282" t="s">
        <v>414</v>
      </c>
      <c r="E82" s="282"/>
      <c r="F82" s="368" t="s">
        <v>430</v>
      </c>
      <c r="G82" s="552" t="s">
        <v>68</v>
      </c>
      <c r="H82" s="284" t="s">
        <v>224</v>
      </c>
      <c r="I82" s="368" t="s">
        <v>51</v>
      </c>
      <c r="J82" s="284">
        <v>249300000</v>
      </c>
      <c r="K82" s="284">
        <v>249300000</v>
      </c>
      <c r="L82" s="565">
        <v>1E-3</v>
      </c>
      <c r="M82" s="284">
        <f>42881892.9</f>
        <v>42881892.899999999</v>
      </c>
      <c r="N82" s="284">
        <f>528153.5</f>
        <v>528153.5</v>
      </c>
      <c r="O82" s="286">
        <f t="shared" si="4"/>
        <v>206418107.09999999</v>
      </c>
      <c r="P82" s="291" t="s">
        <v>111</v>
      </c>
      <c r="Q82" s="369" t="s">
        <v>428</v>
      </c>
      <c r="S82" s="2"/>
    </row>
    <row r="83" spans="1:19" ht="148.5" outlineLevel="1" x14ac:dyDescent="0.25">
      <c r="A83" s="225">
        <v>45</v>
      </c>
      <c r="B83" s="499" t="s">
        <v>192</v>
      </c>
      <c r="C83" s="553" t="s">
        <v>193</v>
      </c>
      <c r="D83" s="616" t="s">
        <v>145</v>
      </c>
      <c r="E83" s="616"/>
      <c r="F83" s="616" t="s">
        <v>430</v>
      </c>
      <c r="G83" s="617" t="s">
        <v>194</v>
      </c>
      <c r="H83" s="619" t="s">
        <v>195</v>
      </c>
      <c r="I83" s="503" t="s">
        <v>26</v>
      </c>
      <c r="J83" s="284">
        <v>4000000</v>
      </c>
      <c r="K83" s="284">
        <v>1325350.5999999999</v>
      </c>
      <c r="L83" s="290" t="s">
        <v>98</v>
      </c>
      <c r="M83" s="284">
        <f>465353.9+34986668/397.71+41212635/391.46+40758842/387.15</f>
        <v>763882.69981118676</v>
      </c>
      <c r="N83" s="284">
        <f>188098.2+7483550/397.71+8032446/391.46+5274803/387.15</f>
        <v>241058.70097373266</v>
      </c>
      <c r="O83" s="585">
        <f>K83-M83</f>
        <v>561467.9001888131</v>
      </c>
      <c r="P83" s="553" t="s">
        <v>304</v>
      </c>
      <c r="Q83" s="370" t="s">
        <v>428</v>
      </c>
      <c r="S83" s="2"/>
    </row>
    <row r="84" spans="1:19" s="215" customFormat="1" ht="27" outlineLevel="1" x14ac:dyDescent="0.25">
      <c r="A84" s="225">
        <v>46</v>
      </c>
      <c r="B84" s="495" t="s">
        <v>163</v>
      </c>
      <c r="C84" s="282" t="s">
        <v>101</v>
      </c>
      <c r="D84" s="368" t="s">
        <v>417</v>
      </c>
      <c r="E84" s="368"/>
      <c r="F84" s="368" t="s">
        <v>405</v>
      </c>
      <c r="G84" s="368" t="s">
        <v>109</v>
      </c>
      <c r="H84" s="368" t="s">
        <v>393</v>
      </c>
      <c r="I84" s="368" t="s">
        <v>51</v>
      </c>
      <c r="J84" s="516">
        <v>50600000</v>
      </c>
      <c r="K84" s="284">
        <v>50600000</v>
      </c>
      <c r="L84" s="495" t="s">
        <v>110</v>
      </c>
      <c r="M84" s="284"/>
      <c r="N84" s="284"/>
      <c r="O84" s="516">
        <f t="shared" si="4"/>
        <v>50600000</v>
      </c>
      <c r="P84" s="291" t="s">
        <v>111</v>
      </c>
      <c r="Q84" s="369" t="s">
        <v>433</v>
      </c>
      <c r="R84" s="214"/>
      <c r="S84" s="2"/>
    </row>
    <row r="85" spans="1:19" s="215" customFormat="1" ht="40.5" customHeight="1" outlineLevel="1" x14ac:dyDescent="0.25">
      <c r="A85" s="225">
        <v>47</v>
      </c>
      <c r="B85" s="495" t="s">
        <v>163</v>
      </c>
      <c r="C85" s="282" t="s">
        <v>101</v>
      </c>
      <c r="D85" s="368" t="s">
        <v>417</v>
      </c>
      <c r="E85" s="368"/>
      <c r="F85" s="368" t="s">
        <v>405</v>
      </c>
      <c r="G85" s="368" t="s">
        <v>112</v>
      </c>
      <c r="H85" s="368" t="s">
        <v>394</v>
      </c>
      <c r="I85" s="282" t="s">
        <v>51</v>
      </c>
      <c r="J85" s="516">
        <v>1100000000</v>
      </c>
      <c r="K85" s="284">
        <v>1100000000</v>
      </c>
      <c r="L85" s="495" t="s">
        <v>110</v>
      </c>
      <c r="M85" s="284"/>
      <c r="N85" s="284"/>
      <c r="O85" s="516">
        <f t="shared" si="4"/>
        <v>1100000000</v>
      </c>
      <c r="P85" s="566" t="s">
        <v>379</v>
      </c>
      <c r="Q85" s="369" t="s">
        <v>433</v>
      </c>
      <c r="R85" s="214"/>
      <c r="S85" s="2"/>
    </row>
    <row r="86" spans="1:19" s="215" customFormat="1" ht="27" outlineLevel="1" x14ac:dyDescent="0.25">
      <c r="A86" s="225">
        <v>48</v>
      </c>
      <c r="B86" s="495" t="s">
        <v>163</v>
      </c>
      <c r="C86" s="282" t="s">
        <v>101</v>
      </c>
      <c r="D86" s="368" t="s">
        <v>417</v>
      </c>
      <c r="E86" s="368"/>
      <c r="F86" s="368" t="s">
        <v>405</v>
      </c>
      <c r="G86" s="368" t="s">
        <v>113</v>
      </c>
      <c r="H86" s="368" t="s">
        <v>395</v>
      </c>
      <c r="I86" s="282" t="s">
        <v>51</v>
      </c>
      <c r="J86" s="516">
        <v>792386600</v>
      </c>
      <c r="K86" s="284">
        <v>791031693</v>
      </c>
      <c r="L86" s="495" t="s">
        <v>110</v>
      </c>
      <c r="M86" s="284"/>
      <c r="N86" s="284"/>
      <c r="O86" s="516">
        <f t="shared" si="4"/>
        <v>791031693</v>
      </c>
      <c r="P86" s="642"/>
      <c r="Q86" s="369" t="s">
        <v>433</v>
      </c>
      <c r="R86" s="214"/>
      <c r="S86" s="2"/>
    </row>
    <row r="87" spans="1:19" s="215" customFormat="1" ht="27" outlineLevel="1" x14ac:dyDescent="0.25">
      <c r="A87" s="225">
        <v>49</v>
      </c>
      <c r="B87" s="495" t="s">
        <v>163</v>
      </c>
      <c r="C87" s="282" t="s">
        <v>101</v>
      </c>
      <c r="D87" s="368" t="s">
        <v>417</v>
      </c>
      <c r="E87" s="368"/>
      <c r="F87" s="368" t="s">
        <v>405</v>
      </c>
      <c r="G87" s="368" t="s">
        <v>148</v>
      </c>
      <c r="H87" s="368" t="s">
        <v>396</v>
      </c>
      <c r="I87" s="282" t="s">
        <v>51</v>
      </c>
      <c r="J87" s="516">
        <v>254672300</v>
      </c>
      <c r="K87" s="284">
        <f>168444408+75498000+5196300+5196300</f>
        <v>254335008</v>
      </c>
      <c r="L87" s="495" t="s">
        <v>110</v>
      </c>
      <c r="M87" s="284"/>
      <c r="N87" s="284"/>
      <c r="O87" s="516">
        <f t="shared" si="4"/>
        <v>254335008</v>
      </c>
      <c r="P87" s="567"/>
      <c r="Q87" s="369" t="s">
        <v>433</v>
      </c>
      <c r="R87" s="214"/>
      <c r="S87" s="2"/>
    </row>
    <row r="88" spans="1:19" s="215" customFormat="1" ht="40.5" outlineLevel="1" x14ac:dyDescent="0.25">
      <c r="A88" s="225">
        <v>50</v>
      </c>
      <c r="B88" s="495" t="s">
        <v>166</v>
      </c>
      <c r="C88" s="282" t="s">
        <v>101</v>
      </c>
      <c r="D88" s="368" t="s">
        <v>414</v>
      </c>
      <c r="E88" s="368"/>
      <c r="F88" s="368" t="s">
        <v>405</v>
      </c>
      <c r="G88" s="368" t="s">
        <v>167</v>
      </c>
      <c r="H88" s="368" t="s">
        <v>168</v>
      </c>
      <c r="I88" s="282" t="s">
        <v>51</v>
      </c>
      <c r="J88" s="516">
        <v>88731015</v>
      </c>
      <c r="K88" s="284">
        <v>88731000</v>
      </c>
      <c r="L88" s="514">
        <v>8.5000000000000006E-2</v>
      </c>
      <c r="M88" s="284">
        <f>88731000</f>
        <v>88731000</v>
      </c>
      <c r="N88" s="284">
        <f>1591081+30000000</f>
        <v>31591081</v>
      </c>
      <c r="O88" s="516">
        <f t="shared" si="4"/>
        <v>0</v>
      </c>
      <c r="P88" s="627" t="s">
        <v>169</v>
      </c>
      <c r="Q88" s="628" t="s">
        <v>433</v>
      </c>
      <c r="R88" s="214"/>
      <c r="S88" s="2"/>
    </row>
    <row r="89" spans="1:19" ht="81" outlineLevel="1" x14ac:dyDescent="0.25">
      <c r="A89" s="225">
        <v>51</v>
      </c>
      <c r="B89" s="499" t="s">
        <v>229</v>
      </c>
      <c r="C89" s="553" t="s">
        <v>156</v>
      </c>
      <c r="D89" s="553" t="s">
        <v>8</v>
      </c>
      <c r="E89" s="553"/>
      <c r="F89" s="616" t="s">
        <v>405</v>
      </c>
      <c r="G89" s="282" t="s">
        <v>201</v>
      </c>
      <c r="H89" s="282" t="s">
        <v>200</v>
      </c>
      <c r="I89" s="282" t="s">
        <v>26</v>
      </c>
      <c r="J89" s="283">
        <v>8944984.0899999999</v>
      </c>
      <c r="K89" s="284">
        <v>8944984.0899999999</v>
      </c>
      <c r="L89" s="643">
        <v>7.4999999999999997E-3</v>
      </c>
      <c r="M89" s="284">
        <f>2425758.4+151609.9+151609.9+151609.9+151609.9</f>
        <v>3032197.9999999995</v>
      </c>
      <c r="N89" s="284">
        <f>881276.03+25084.35+24380.12+23943.98+23373.89+22803.79</f>
        <v>1000862.16</v>
      </c>
      <c r="O89" s="286">
        <f t="shared" si="4"/>
        <v>5912786.0899999999</v>
      </c>
      <c r="P89" s="288" t="s">
        <v>111</v>
      </c>
      <c r="Q89" s="370" t="s">
        <v>428</v>
      </c>
      <c r="S89" s="2"/>
    </row>
    <row r="90" spans="1:19" ht="55.5" customHeight="1" outlineLevel="1" x14ac:dyDescent="0.25">
      <c r="A90" s="498">
        <v>52</v>
      </c>
      <c r="B90" s="566" t="s">
        <v>230</v>
      </c>
      <c r="C90" s="500" t="s">
        <v>156</v>
      </c>
      <c r="D90" s="500" t="s">
        <v>8</v>
      </c>
      <c r="E90" s="553"/>
      <c r="F90" s="616" t="s">
        <v>405</v>
      </c>
      <c r="G90" s="500" t="s">
        <v>202</v>
      </c>
      <c r="H90" s="282" t="s">
        <v>203</v>
      </c>
      <c r="I90" s="282" t="s">
        <v>26</v>
      </c>
      <c r="J90" s="283">
        <v>5217725</v>
      </c>
      <c r="K90" s="284">
        <v>5217725</v>
      </c>
      <c r="L90" s="643">
        <v>7.4999999999999997E-3</v>
      </c>
      <c r="M90" s="284">
        <f>782658.5+52177.25+52177.25+52177.25+52177.25</f>
        <v>991367.5</v>
      </c>
      <c r="N90" s="284">
        <f>538816.19+16480.36+16284.66+16088.46</f>
        <v>587669.66999999993</v>
      </c>
      <c r="O90" s="286">
        <f t="shared" si="4"/>
        <v>4226357.5</v>
      </c>
      <c r="P90" s="500" t="s">
        <v>111</v>
      </c>
      <c r="Q90" s="369" t="s">
        <v>428</v>
      </c>
      <c r="S90" s="2"/>
    </row>
    <row r="91" spans="1:19" ht="55.5" customHeight="1" outlineLevel="1" x14ac:dyDescent="0.25">
      <c r="A91" s="506"/>
      <c r="B91" s="567"/>
      <c r="C91" s="507"/>
      <c r="D91" s="507"/>
      <c r="E91" s="579"/>
      <c r="F91" s="616" t="s">
        <v>405</v>
      </c>
      <c r="G91" s="507"/>
      <c r="H91" s="282" t="s">
        <v>203</v>
      </c>
      <c r="I91" s="282" t="s">
        <v>51</v>
      </c>
      <c r="J91" s="283">
        <v>93025000</v>
      </c>
      <c r="K91" s="284">
        <v>93025000</v>
      </c>
      <c r="L91" s="643">
        <v>7.4999999999999997E-3</v>
      </c>
      <c r="M91" s="284">
        <f>13953750+930250+930250+930250+930250</f>
        <v>17674750</v>
      </c>
      <c r="N91" s="284">
        <f>9237334.28+296030+287830+287830</f>
        <v>10109024.279999999</v>
      </c>
      <c r="O91" s="286">
        <f t="shared" si="4"/>
        <v>75350250</v>
      </c>
      <c r="P91" s="507"/>
      <c r="Q91" s="644" t="s">
        <v>428</v>
      </c>
      <c r="S91" s="2"/>
    </row>
    <row r="92" spans="1:19" ht="81" outlineLevel="1" x14ac:dyDescent="0.25">
      <c r="A92" s="225">
        <v>53</v>
      </c>
      <c r="B92" s="499" t="s">
        <v>232</v>
      </c>
      <c r="C92" s="553" t="s">
        <v>156</v>
      </c>
      <c r="D92" s="553" t="s">
        <v>8</v>
      </c>
      <c r="E92" s="553"/>
      <c r="F92" s="616" t="s">
        <v>405</v>
      </c>
      <c r="G92" s="282" t="s">
        <v>204</v>
      </c>
      <c r="H92" s="282" t="s">
        <v>205</v>
      </c>
      <c r="I92" s="282" t="s">
        <v>26</v>
      </c>
      <c r="J92" s="283">
        <v>1989000</v>
      </c>
      <c r="K92" s="284">
        <v>1989000</v>
      </c>
      <c r="L92" s="643">
        <v>7.4999999999999997E-3</v>
      </c>
      <c r="M92" s="284">
        <f>337118.7+33711.86+33711.86+33711.86+33712</f>
        <v>471966.27999999997</v>
      </c>
      <c r="N92" s="284">
        <f>177150.18+6084.76+5957.99+5831.23</f>
        <v>195024.16</v>
      </c>
      <c r="O92" s="286">
        <f t="shared" si="4"/>
        <v>1517033.72</v>
      </c>
      <c r="P92" s="288" t="s">
        <v>111</v>
      </c>
      <c r="Q92" s="370" t="s">
        <v>428</v>
      </c>
      <c r="S92" s="2"/>
    </row>
    <row r="93" spans="1:19" ht="100.5" customHeight="1" outlineLevel="1" x14ac:dyDescent="0.25">
      <c r="A93" s="225">
        <v>54</v>
      </c>
      <c r="B93" s="499" t="s">
        <v>383</v>
      </c>
      <c r="C93" s="553" t="s">
        <v>384</v>
      </c>
      <c r="D93" s="553" t="s">
        <v>8</v>
      </c>
      <c r="E93" s="553"/>
      <c r="F93" s="616" t="s">
        <v>405</v>
      </c>
      <c r="G93" s="553" t="s">
        <v>385</v>
      </c>
      <c r="H93" s="553" t="s">
        <v>386</v>
      </c>
      <c r="I93" s="282" t="s">
        <v>51</v>
      </c>
      <c r="J93" s="283">
        <v>2047212646</v>
      </c>
      <c r="K93" s="619">
        <v>2047212646</v>
      </c>
      <c r="L93" s="643">
        <v>0.02</v>
      </c>
      <c r="M93" s="284">
        <v>0</v>
      </c>
      <c r="N93" s="284">
        <f>88017538.4+20640391+20640391+20303862+20640391</f>
        <v>170242573.40000001</v>
      </c>
      <c r="O93" s="286">
        <f t="shared" si="4"/>
        <v>2047212646</v>
      </c>
      <c r="P93" s="288" t="s">
        <v>111</v>
      </c>
      <c r="Q93" s="370" t="s">
        <v>428</v>
      </c>
      <c r="S93" s="2"/>
    </row>
    <row r="94" spans="1:19" ht="144" customHeight="1" outlineLevel="1" x14ac:dyDescent="0.25">
      <c r="A94" s="575">
        <v>55</v>
      </c>
      <c r="B94" s="499" t="s">
        <v>225</v>
      </c>
      <c r="C94" s="553" t="s">
        <v>226</v>
      </c>
      <c r="D94" s="553" t="s">
        <v>106</v>
      </c>
      <c r="E94" s="553"/>
      <c r="F94" s="553" t="s">
        <v>405</v>
      </c>
      <c r="G94" s="553" t="s">
        <v>426</v>
      </c>
      <c r="H94" s="553" t="s">
        <v>227</v>
      </c>
      <c r="I94" s="282" t="s">
        <v>26</v>
      </c>
      <c r="J94" s="283">
        <v>2217000</v>
      </c>
      <c r="K94" s="283">
        <v>2217000</v>
      </c>
      <c r="L94" s="285">
        <v>0.02</v>
      </c>
      <c r="M94" s="284">
        <f>1656550.78+18166.04+7000680/387.28+18122.86+18122.86+32122.86+28837.1+8000+8000+8000+20000+20000+20000+20000+20000+19994.32+20000+20000+8000+8000+8000</f>
        <v>1997993.3537740142</v>
      </c>
      <c r="N94" s="284">
        <f>133182.536922389+1443.51+1358.52+1365.7+1287.6+1303.23+1287.23+1148.05</f>
        <v>142376.37692238903</v>
      </c>
      <c r="O94" s="286">
        <f t="shared" si="4"/>
        <v>219006.64622598584</v>
      </c>
      <c r="P94" s="288" t="s">
        <v>228</v>
      </c>
      <c r="Q94" s="370" t="s">
        <v>428</v>
      </c>
      <c r="S94" s="2"/>
    </row>
    <row r="95" spans="1:19" ht="128.25" customHeight="1" outlineLevel="1" x14ac:dyDescent="0.25">
      <c r="A95" s="225">
        <v>56</v>
      </c>
      <c r="B95" s="495" t="s">
        <v>387</v>
      </c>
      <c r="C95" s="282" t="s">
        <v>388</v>
      </c>
      <c r="D95" s="282" t="s">
        <v>52</v>
      </c>
      <c r="E95" s="282"/>
      <c r="F95" s="368" t="s">
        <v>430</v>
      </c>
      <c r="G95" s="282" t="s">
        <v>391</v>
      </c>
      <c r="H95" s="553" t="s">
        <v>398</v>
      </c>
      <c r="I95" s="282" t="s">
        <v>30</v>
      </c>
      <c r="J95" s="283">
        <f>4199559.68+12720691.2+1113060.48+1966688.64</f>
        <v>20000000</v>
      </c>
      <c r="K95" s="283">
        <f>J95</f>
        <v>20000000</v>
      </c>
      <c r="L95" s="285" t="s">
        <v>390</v>
      </c>
      <c r="M95" s="284"/>
      <c r="N95" s="645">
        <f>77849.88+103888.1+413918.01+520635+494848.41</f>
        <v>1611139.4</v>
      </c>
      <c r="O95" s="286">
        <f t="shared" si="4"/>
        <v>20000000</v>
      </c>
      <c r="P95" s="288" t="s">
        <v>392</v>
      </c>
      <c r="Q95" s="369" t="s">
        <v>428</v>
      </c>
      <c r="S95" s="2"/>
    </row>
    <row r="96" spans="1:19" s="6" customFormat="1" ht="59.25" customHeight="1" outlineLevel="1" x14ac:dyDescent="0.25">
      <c r="A96" s="575"/>
      <c r="B96" s="499" t="s">
        <v>474</v>
      </c>
      <c r="C96" s="553"/>
      <c r="D96" s="282" t="s">
        <v>414</v>
      </c>
      <c r="E96" s="282" t="s">
        <v>479</v>
      </c>
      <c r="F96" s="368" t="s">
        <v>405</v>
      </c>
      <c r="G96" s="282" t="s">
        <v>479</v>
      </c>
      <c r="H96" s="282" t="s">
        <v>484</v>
      </c>
      <c r="I96" s="282" t="s">
        <v>51</v>
      </c>
      <c r="J96" s="284">
        <v>250000000</v>
      </c>
      <c r="K96" s="284">
        <v>250000000</v>
      </c>
      <c r="L96" s="505"/>
      <c r="M96" s="619"/>
      <c r="N96" s="619"/>
      <c r="O96" s="585"/>
      <c r="P96" s="288"/>
      <c r="Q96" s="369" t="s">
        <v>433</v>
      </c>
      <c r="R96" s="5"/>
      <c r="S96" s="2"/>
    </row>
    <row r="97" spans="1:19" s="215" customFormat="1" ht="38.25" customHeight="1" outlineLevel="1" x14ac:dyDescent="0.25">
      <c r="A97" s="498">
        <v>57</v>
      </c>
      <c r="B97" s="566" t="s">
        <v>206</v>
      </c>
      <c r="C97" s="500" t="s">
        <v>164</v>
      </c>
      <c r="D97" s="500"/>
      <c r="E97" s="579"/>
      <c r="F97" s="368" t="s">
        <v>489</v>
      </c>
      <c r="G97" s="555" t="s">
        <v>207</v>
      </c>
      <c r="H97" s="555" t="s">
        <v>208</v>
      </c>
      <c r="I97" s="503" t="s">
        <v>26</v>
      </c>
      <c r="J97" s="516">
        <v>237758.39</v>
      </c>
      <c r="K97" s="284">
        <v>237758.39</v>
      </c>
      <c r="L97" s="565"/>
      <c r="M97" s="284"/>
      <c r="N97" s="284"/>
      <c r="O97" s="516">
        <f t="shared" si="4"/>
        <v>237758.39</v>
      </c>
      <c r="P97" s="500" t="s">
        <v>111</v>
      </c>
      <c r="Q97" s="369" t="s">
        <v>428</v>
      </c>
      <c r="R97" s="214"/>
      <c r="S97" s="2"/>
    </row>
    <row r="98" spans="1:19" s="215" customFormat="1" ht="45" customHeight="1" outlineLevel="1" x14ac:dyDescent="0.25">
      <c r="A98" s="506"/>
      <c r="B98" s="567"/>
      <c r="C98" s="507"/>
      <c r="D98" s="507"/>
      <c r="E98" s="367"/>
      <c r="F98" s="368" t="s">
        <v>489</v>
      </c>
      <c r="G98" s="557"/>
      <c r="H98" s="557"/>
      <c r="I98" s="618" t="s">
        <v>51</v>
      </c>
      <c r="J98" s="647">
        <v>28883700</v>
      </c>
      <c r="K98" s="284">
        <v>28883700</v>
      </c>
      <c r="L98" s="505"/>
      <c r="M98" s="284"/>
      <c r="N98" s="284"/>
      <c r="O98" s="516">
        <f t="shared" si="4"/>
        <v>28883700</v>
      </c>
      <c r="P98" s="507"/>
      <c r="Q98" s="518" t="s">
        <v>428</v>
      </c>
      <c r="R98" s="214"/>
      <c r="S98" s="2"/>
    </row>
    <row r="99" spans="1:19" s="6" customFormat="1" ht="59.25" customHeight="1" outlineLevel="1" x14ac:dyDescent="0.25">
      <c r="A99" s="575">
        <v>58</v>
      </c>
      <c r="B99" s="499" t="s">
        <v>175</v>
      </c>
      <c r="C99" s="553" t="s">
        <v>151</v>
      </c>
      <c r="D99" s="282" t="s">
        <v>414</v>
      </c>
      <c r="E99" s="282"/>
      <c r="F99" s="368" t="s">
        <v>489</v>
      </c>
      <c r="G99" s="282" t="s">
        <v>104</v>
      </c>
      <c r="H99" s="282" t="s">
        <v>105</v>
      </c>
      <c r="I99" s="282" t="s">
        <v>51</v>
      </c>
      <c r="J99" s="284">
        <v>303444194</v>
      </c>
      <c r="K99" s="619">
        <v>303444194</v>
      </c>
      <c r="L99" s="505"/>
      <c r="M99" s="619"/>
      <c r="N99" s="619"/>
      <c r="O99" s="585">
        <f t="shared" si="4"/>
        <v>303444194</v>
      </c>
      <c r="P99" s="288" t="s">
        <v>111</v>
      </c>
      <c r="Q99" s="369" t="s">
        <v>483</v>
      </c>
      <c r="R99" s="5"/>
      <c r="S99" s="2"/>
    </row>
    <row r="100" spans="1:19" s="2" customFormat="1" ht="54.75" customHeight="1" outlineLevel="1" x14ac:dyDescent="0.25">
      <c r="A100" s="575"/>
      <c r="B100" s="499" t="s">
        <v>464</v>
      </c>
      <c r="C100" s="553" t="s">
        <v>151</v>
      </c>
      <c r="D100" s="282" t="s">
        <v>414</v>
      </c>
      <c r="E100" s="282"/>
      <c r="F100" s="368" t="s">
        <v>489</v>
      </c>
      <c r="G100" s="282" t="s">
        <v>466</v>
      </c>
      <c r="H100" s="282" t="s">
        <v>465</v>
      </c>
      <c r="I100" s="503" t="s">
        <v>51</v>
      </c>
      <c r="J100" s="284">
        <v>29938264</v>
      </c>
      <c r="K100" s="284">
        <v>29938264</v>
      </c>
      <c r="L100" s="556"/>
      <c r="M100" s="284">
        <f>9000000+1000000+1000000+800000+200000+1000000+1000000+1000000+1000000</f>
        <v>16000000</v>
      </c>
      <c r="N100" s="284"/>
      <c r="O100" s="585">
        <f t="shared" si="4"/>
        <v>13938264</v>
      </c>
      <c r="P100" s="288" t="s">
        <v>111</v>
      </c>
      <c r="Q100" s="518" t="s">
        <v>428</v>
      </c>
      <c r="R100" s="10"/>
    </row>
    <row r="101" spans="1:19" s="2" customFormat="1" ht="88.5" customHeight="1" outlineLevel="1" x14ac:dyDescent="0.25">
      <c r="A101" s="575"/>
      <c r="B101" s="499" t="s">
        <v>467</v>
      </c>
      <c r="C101" s="553" t="s">
        <v>468</v>
      </c>
      <c r="D101" s="282" t="s">
        <v>414</v>
      </c>
      <c r="E101" s="282"/>
      <c r="F101" s="368" t="s">
        <v>405</v>
      </c>
      <c r="G101" s="282" t="s">
        <v>480</v>
      </c>
      <c r="H101" s="282" t="s">
        <v>481</v>
      </c>
      <c r="I101" s="503" t="s">
        <v>51</v>
      </c>
      <c r="J101" s="284">
        <v>1343651100</v>
      </c>
      <c r="K101" s="284">
        <v>1343651100</v>
      </c>
      <c r="L101" s="556">
        <v>7.2499999999999995E-2</v>
      </c>
      <c r="M101" s="284"/>
      <c r="N101" s="284"/>
      <c r="O101" s="585">
        <f t="shared" si="4"/>
        <v>1343651100</v>
      </c>
      <c r="P101" s="288" t="s">
        <v>111</v>
      </c>
      <c r="Q101" s="518" t="s">
        <v>433</v>
      </c>
      <c r="R101" s="10"/>
    </row>
    <row r="102" spans="1:19" ht="82.5" customHeight="1" x14ac:dyDescent="0.25">
      <c r="A102" s="225">
        <v>59</v>
      </c>
      <c r="B102" s="495" t="s">
        <v>404</v>
      </c>
      <c r="C102" s="282" t="s">
        <v>405</v>
      </c>
      <c r="D102" s="282" t="s">
        <v>414</v>
      </c>
      <c r="E102" s="282"/>
      <c r="F102" s="282" t="s">
        <v>405</v>
      </c>
      <c r="G102" s="282" t="s">
        <v>406</v>
      </c>
      <c r="H102" s="282" t="s">
        <v>407</v>
      </c>
      <c r="I102" s="282" t="s">
        <v>51</v>
      </c>
      <c r="J102" s="284">
        <v>1600000000</v>
      </c>
      <c r="K102" s="497">
        <v>1600000000</v>
      </c>
      <c r="L102" s="514">
        <v>0.06</v>
      </c>
      <c r="M102" s="497">
        <f>16666667+16666667</f>
        <v>33333334</v>
      </c>
      <c r="N102" s="497">
        <f>14728767+7827397</f>
        <v>22556164</v>
      </c>
      <c r="O102" s="516">
        <f t="shared" si="4"/>
        <v>1566666666</v>
      </c>
      <c r="P102" s="282" t="s">
        <v>408</v>
      </c>
      <c r="Q102" s="369" t="s">
        <v>433</v>
      </c>
      <c r="S102" s="2"/>
    </row>
    <row r="103" spans="1:19" ht="155.25" customHeight="1" x14ac:dyDescent="0.25">
      <c r="A103" s="511">
        <v>60</v>
      </c>
      <c r="B103" s="512" t="s">
        <v>422</v>
      </c>
      <c r="C103" s="282" t="s">
        <v>405</v>
      </c>
      <c r="D103" s="282" t="s">
        <v>414</v>
      </c>
      <c r="E103" s="282"/>
      <c r="F103" s="513" t="s">
        <v>405</v>
      </c>
      <c r="G103" s="367" t="s">
        <v>486</v>
      </c>
      <c r="H103" s="282" t="s">
        <v>423</v>
      </c>
      <c r="I103" s="282" t="s">
        <v>51</v>
      </c>
      <c r="J103" s="287">
        <v>3500000000</v>
      </c>
      <c r="K103" s="287">
        <v>3500000000</v>
      </c>
      <c r="L103" s="514">
        <v>0.08</v>
      </c>
      <c r="M103" s="515"/>
      <c r="N103" s="515"/>
      <c r="O103" s="516">
        <f t="shared" si="4"/>
        <v>3500000000</v>
      </c>
      <c r="P103" s="517" t="s">
        <v>424</v>
      </c>
      <c r="Q103" s="518" t="s">
        <v>428</v>
      </c>
      <c r="S103" s="2"/>
    </row>
    <row r="104" spans="1:19" s="6" customFormat="1" ht="47.25" customHeight="1" outlineLevel="1" x14ac:dyDescent="0.25">
      <c r="A104" s="511">
        <v>61</v>
      </c>
      <c r="B104" s="367" t="s">
        <v>425</v>
      </c>
      <c r="C104" s="367" t="s">
        <v>405</v>
      </c>
      <c r="D104" s="367" t="s">
        <v>414</v>
      </c>
      <c r="E104" s="367"/>
      <c r="F104" s="513" t="s">
        <v>405</v>
      </c>
      <c r="G104" s="519" t="s">
        <v>410</v>
      </c>
      <c r="H104" s="367" t="s">
        <v>242</v>
      </c>
      <c r="I104" s="367" t="s">
        <v>51</v>
      </c>
      <c r="J104" s="287">
        <v>2000000000</v>
      </c>
      <c r="K104" s="287">
        <v>2000000000</v>
      </c>
      <c r="L104" s="520">
        <v>1E-4</v>
      </c>
      <c r="M104" s="287">
        <f>122220000+82500000+82500000+165000000</f>
        <v>452220000</v>
      </c>
      <c r="N104" s="287">
        <f>175890.410958904+56590.6+7869.7+22525</f>
        <v>262875.710958904</v>
      </c>
      <c r="O104" s="521">
        <f t="shared" si="4"/>
        <v>1547780000</v>
      </c>
      <c r="P104" s="517" t="s">
        <v>411</v>
      </c>
      <c r="Q104" s="518" t="s">
        <v>428</v>
      </c>
      <c r="R104" s="5"/>
      <c r="S104" s="2"/>
    </row>
    <row r="105" spans="1:19" s="6" customFormat="1" ht="47.25" customHeight="1" outlineLevel="1" x14ac:dyDescent="0.25">
      <c r="A105" s="511">
        <v>62</v>
      </c>
      <c r="B105" s="367" t="s">
        <v>149</v>
      </c>
      <c r="C105" s="367" t="s">
        <v>150</v>
      </c>
      <c r="D105" s="367" t="s">
        <v>418</v>
      </c>
      <c r="E105" s="367"/>
      <c r="F105" s="513" t="s">
        <v>405</v>
      </c>
      <c r="G105" s="519" t="s">
        <v>217</v>
      </c>
      <c r="H105" s="367" t="s">
        <v>331</v>
      </c>
      <c r="I105" s="367" t="s">
        <v>26</v>
      </c>
      <c r="J105" s="287">
        <v>10000000</v>
      </c>
      <c r="K105" s="287">
        <v>10000000</v>
      </c>
      <c r="L105" s="520" t="s">
        <v>333</v>
      </c>
      <c r="M105" s="287">
        <f>2553676.86+827369+326463360/394.58</f>
        <v>4208415.1133833444</v>
      </c>
      <c r="N105" s="287">
        <f>4401844.92047069+51518733/394.58</f>
        <v>4532410.9222954158</v>
      </c>
      <c r="O105" s="521">
        <f>K105-M105</f>
        <v>5791584.8866166556</v>
      </c>
      <c r="P105" s="517" t="s">
        <v>303</v>
      </c>
      <c r="Q105" s="518" t="s">
        <v>428</v>
      </c>
      <c r="R105" s="5"/>
      <c r="S105" s="2"/>
    </row>
    <row r="106" spans="1:19" s="6" customFormat="1" ht="51" customHeight="1" outlineLevel="1" thickBot="1" x14ac:dyDescent="0.3">
      <c r="A106" s="225">
        <v>63</v>
      </c>
      <c r="B106" s="282" t="s">
        <v>149</v>
      </c>
      <c r="C106" s="522" t="s">
        <v>434</v>
      </c>
      <c r="D106" s="522" t="s">
        <v>418</v>
      </c>
      <c r="E106" s="522"/>
      <c r="F106" s="523" t="s">
        <v>405</v>
      </c>
      <c r="G106" s="524" t="s">
        <v>209</v>
      </c>
      <c r="H106" s="522" t="s">
        <v>302</v>
      </c>
      <c r="I106" s="522" t="s">
        <v>51</v>
      </c>
      <c r="J106" s="284">
        <v>8000000000</v>
      </c>
      <c r="K106" s="284">
        <v>8000000000</v>
      </c>
      <c r="L106" s="290" t="s">
        <v>332</v>
      </c>
      <c r="M106" s="284"/>
      <c r="N106" s="284">
        <f>3496438357+79342466+80657534+79342466+79342466+1315069+216021918+419419179+129470822+248100000+35010000</f>
        <v>4864460277</v>
      </c>
      <c r="O106" s="286">
        <f>K106-M106</f>
        <v>8000000000</v>
      </c>
      <c r="P106" s="291" t="s">
        <v>301</v>
      </c>
      <c r="Q106" s="369" t="s">
        <v>428</v>
      </c>
      <c r="R106" s="5"/>
      <c r="S106" s="2"/>
    </row>
    <row r="107" spans="1:19" s="594" customFormat="1" ht="24.75" customHeight="1" x14ac:dyDescent="0.25">
      <c r="A107" s="587" t="s">
        <v>161</v>
      </c>
      <c r="B107" s="588"/>
      <c r="C107" s="589"/>
      <c r="F107" s="639"/>
      <c r="G107" s="639"/>
      <c r="H107" s="639"/>
      <c r="I107" s="639" t="s">
        <v>30</v>
      </c>
      <c r="J107" s="625">
        <f>SUMIF($I$77:$I$106,I107,$J$77:$J$106)</f>
        <v>41500000</v>
      </c>
      <c r="K107" s="625">
        <f>SUMIF($I$77:$I$106,I107,$K$77:$K$106)</f>
        <v>23272189.77</v>
      </c>
      <c r="L107" s="625"/>
      <c r="M107" s="625">
        <f>SUMIF($I$77:$I$106,I107,$M$77:$M$106)</f>
        <v>36360.221703756208</v>
      </c>
      <c r="N107" s="625">
        <f>SUMIF($I$77:$I$106,I107,$N$77:$N$106)</f>
        <v>1819326.2698881822</v>
      </c>
      <c r="O107" s="625">
        <f>SUMIF($I$77:$I$106,I107,$O$77:$O$106)</f>
        <v>23235829.548296243</v>
      </c>
      <c r="P107" s="592"/>
      <c r="Q107" s="593"/>
      <c r="R107" s="10"/>
      <c r="S107" s="2"/>
    </row>
    <row r="108" spans="1:19" s="594" customFormat="1" ht="39" customHeight="1" x14ac:dyDescent="0.25">
      <c r="A108" s="595"/>
      <c r="B108" s="596"/>
      <c r="C108" s="597"/>
      <c r="D108" s="562"/>
      <c r="E108" s="562"/>
      <c r="F108" s="598"/>
      <c r="G108" s="598"/>
      <c r="H108" s="598"/>
      <c r="I108" s="598" t="s">
        <v>51</v>
      </c>
      <c r="J108" s="599">
        <f>SUMIF($I$77:$I$106,I108,$J$77:$J$106)</f>
        <v>21824577872.200001</v>
      </c>
      <c r="K108" s="599">
        <f>SUMIF($I$77:$I$106,I108,$K$77:$K$106)</f>
        <v>21951536188</v>
      </c>
      <c r="L108" s="599"/>
      <c r="M108" s="599">
        <f>SUMIF($I$77:$I$106,I108,$M$77:$M$106)</f>
        <v>650840976.89999998</v>
      </c>
      <c r="N108" s="599">
        <f>SUMIF($I$77:$I$106,I108,$N$77:$N$106)</f>
        <v>5099750148.8909588</v>
      </c>
      <c r="O108" s="599">
        <f>SUMIF($I$77:$I$106,I108,$O$77:$O$106)</f>
        <v>21050695211.099998</v>
      </c>
      <c r="P108" s="600"/>
      <c r="Q108" s="601"/>
      <c r="R108" s="10"/>
      <c r="S108" s="2"/>
    </row>
    <row r="109" spans="1:19" s="594" customFormat="1" ht="39" customHeight="1" x14ac:dyDescent="0.25">
      <c r="A109" s="595"/>
      <c r="B109" s="596"/>
      <c r="C109" s="597"/>
      <c r="D109" s="562"/>
      <c r="E109" s="562"/>
      <c r="F109" s="598"/>
      <c r="G109" s="598"/>
      <c r="H109" s="598"/>
      <c r="I109" s="598" t="s">
        <v>26</v>
      </c>
      <c r="J109" s="599">
        <f>SUMIF($I$77:$I$106,I109,$J$77:$J$106)</f>
        <v>32967799.48</v>
      </c>
      <c r="K109" s="599">
        <f>SUMIF($I$77:$I$106,I109,$K$77:$K$106)</f>
        <v>30293150.079999998</v>
      </c>
      <c r="L109" s="599"/>
      <c r="M109" s="599">
        <f>SUMIF($I$77:$I$106,I109,$M$77:$M$106)</f>
        <v>11687429.673323378</v>
      </c>
      <c r="N109" s="599">
        <f>SUMIF($I$77:$I$106,I109,$N$77:$N$106)</f>
        <v>6886931.9901915379</v>
      </c>
      <c r="O109" s="599">
        <f>SUMIF($I$77:$I$106,I109,$O$77:$O$106)</f>
        <v>18605720.406676624</v>
      </c>
      <c r="P109" s="600"/>
      <c r="Q109" s="601"/>
      <c r="R109" s="10"/>
      <c r="S109" s="2"/>
    </row>
    <row r="110" spans="1:19" s="594" customFormat="1" ht="39" customHeight="1" thickBot="1" x14ac:dyDescent="0.3">
      <c r="A110" s="606"/>
      <c r="B110" s="607"/>
      <c r="C110" s="608"/>
      <c r="D110" s="626"/>
      <c r="E110" s="626"/>
      <c r="F110" s="609"/>
      <c r="G110" s="609"/>
      <c r="H110" s="609"/>
      <c r="I110" s="609" t="s">
        <v>18</v>
      </c>
      <c r="J110" s="613">
        <f>SUMIF($I$77:$I$106,I110,$J$77:$J$106)</f>
        <v>0</v>
      </c>
      <c r="K110" s="613">
        <f>SUMIF($I$77:$I$106,I110,$K$77:$K$106)</f>
        <v>0</v>
      </c>
      <c r="L110" s="613"/>
      <c r="M110" s="613">
        <f>SUMIF($I$77:$I$106,I110,$M$77:$M$106)</f>
        <v>0</v>
      </c>
      <c r="N110" s="613">
        <f>SUMIF($I$77:$I$106,I110,$N$77:$N$106)</f>
        <v>0</v>
      </c>
      <c r="O110" s="613">
        <f>SUMIF($I$77:$I$106,I110,$O$77:$O$106)</f>
        <v>0</v>
      </c>
      <c r="P110" s="614"/>
      <c r="Q110" s="615"/>
      <c r="R110" s="10"/>
      <c r="S110" s="2"/>
    </row>
    <row r="111" spans="1:19" s="215" customFormat="1" ht="156.75" customHeight="1" outlineLevel="1" x14ac:dyDescent="0.25">
      <c r="A111" s="225">
        <v>64</v>
      </c>
      <c r="B111" s="553" t="s">
        <v>325</v>
      </c>
      <c r="C111" s="553" t="s">
        <v>267</v>
      </c>
      <c r="D111" s="579" t="s">
        <v>414</v>
      </c>
      <c r="E111" s="579"/>
      <c r="F111" s="646" t="s">
        <v>405</v>
      </c>
      <c r="G111" s="646" t="s">
        <v>335</v>
      </c>
      <c r="H111" s="646" t="s">
        <v>348</v>
      </c>
      <c r="I111" s="367" t="s">
        <v>51</v>
      </c>
      <c r="J111" s="647">
        <f>3047000000+3000000000</f>
        <v>6047000000</v>
      </c>
      <c r="K111" s="497">
        <v>6000000000</v>
      </c>
      <c r="L111" s="505"/>
      <c r="M111" s="497">
        <f>4439902959+260956717.5+995441267.7+73262192.2+103703140+88648827.6+23704487.9+9999937.1+167000+1814495.5+405741.8+291594+193389.5+167000</f>
        <v>5998658749.8000002</v>
      </c>
      <c r="N111" s="497"/>
      <c r="O111" s="619">
        <f t="shared" ref="O111:O116" si="5">K111-M111</f>
        <v>1341250.1999998093</v>
      </c>
      <c r="P111" s="648" t="s">
        <v>111</v>
      </c>
      <c r="Q111" s="649" t="s">
        <v>433</v>
      </c>
      <c r="R111" s="214"/>
      <c r="S111" s="2"/>
    </row>
    <row r="112" spans="1:19" s="215" customFormat="1" ht="147" customHeight="1" outlineLevel="1" x14ac:dyDescent="0.25">
      <c r="A112" s="225">
        <v>65</v>
      </c>
      <c r="B112" s="553" t="s">
        <v>325</v>
      </c>
      <c r="C112" s="500" t="s">
        <v>321</v>
      </c>
      <c r="D112" s="553" t="s">
        <v>414</v>
      </c>
      <c r="E112" s="553"/>
      <c r="F112" s="616" t="s">
        <v>405</v>
      </c>
      <c r="G112" s="616" t="s">
        <v>421</v>
      </c>
      <c r="H112" s="616" t="s">
        <v>323</v>
      </c>
      <c r="I112" s="282" t="s">
        <v>51</v>
      </c>
      <c r="J112" s="284">
        <v>2000000000</v>
      </c>
      <c r="K112" s="497">
        <v>2000000000</v>
      </c>
      <c r="L112" s="565">
        <v>2.7E-2</v>
      </c>
      <c r="M112" s="497"/>
      <c r="N112" s="286">
        <f>68417269.8+13462993.2+49643.9+1421840.5+38566246.5+491534.9+1119195.4+178355+29883.2+10588.6+3022.3</f>
        <v>123750573.30000001</v>
      </c>
      <c r="O112" s="286">
        <f t="shared" si="5"/>
        <v>2000000000</v>
      </c>
      <c r="P112" s="648" t="s">
        <v>111</v>
      </c>
      <c r="Q112" s="650" t="s">
        <v>433</v>
      </c>
      <c r="R112" s="214"/>
      <c r="S112" s="2"/>
    </row>
    <row r="113" spans="1:19" s="215" customFormat="1" ht="144.75" customHeight="1" outlineLevel="1" x14ac:dyDescent="0.25">
      <c r="A113" s="225">
        <v>66</v>
      </c>
      <c r="B113" s="553" t="s">
        <v>325</v>
      </c>
      <c r="C113" s="560"/>
      <c r="D113" s="550" t="s">
        <v>414</v>
      </c>
      <c r="E113" s="550"/>
      <c r="F113" s="368" t="s">
        <v>405</v>
      </c>
      <c r="G113" s="616" t="s">
        <v>420</v>
      </c>
      <c r="H113" s="616" t="s">
        <v>324</v>
      </c>
      <c r="I113" s="367" t="s">
        <v>51</v>
      </c>
      <c r="J113" s="284">
        <v>2000000000</v>
      </c>
      <c r="K113" s="497">
        <v>2000000000</v>
      </c>
      <c r="L113" s="651">
        <v>5.7000000000000002E-2</v>
      </c>
      <c r="M113" s="497"/>
      <c r="N113" s="497">
        <f>153819379.6+28421448.8+780809.1+528470.5+2614769.3+283790.1+5159868.8+1406739.9</f>
        <v>193015276.10000002</v>
      </c>
      <c r="O113" s="286">
        <f t="shared" si="5"/>
        <v>2000000000</v>
      </c>
      <c r="P113" s="648" t="s">
        <v>111</v>
      </c>
      <c r="Q113" s="650" t="s">
        <v>433</v>
      </c>
      <c r="R113" s="214"/>
      <c r="S113" s="2"/>
    </row>
    <row r="114" spans="1:19" s="215" customFormat="1" ht="168" customHeight="1" outlineLevel="1" x14ac:dyDescent="0.25">
      <c r="A114" s="225">
        <v>67</v>
      </c>
      <c r="B114" s="548" t="s">
        <v>325</v>
      </c>
      <c r="C114" s="507"/>
      <c r="D114" s="517"/>
      <c r="E114" s="517"/>
      <c r="F114" s="652" t="s">
        <v>405</v>
      </c>
      <c r="G114" s="368" t="s">
        <v>419</v>
      </c>
      <c r="H114" s="368" t="s">
        <v>353</v>
      </c>
      <c r="I114" s="367" t="s">
        <v>51</v>
      </c>
      <c r="J114" s="284">
        <v>5000000000</v>
      </c>
      <c r="K114" s="497">
        <v>5000000000</v>
      </c>
      <c r="L114" s="565">
        <v>2.7E-2</v>
      </c>
      <c r="M114" s="497"/>
      <c r="N114" s="497">
        <f>34209157.5+76580313.4+83507353.3+1840160.7</f>
        <v>196136984.89999998</v>
      </c>
      <c r="O114" s="286">
        <f t="shared" si="5"/>
        <v>5000000000</v>
      </c>
      <c r="P114" s="627" t="s">
        <v>111</v>
      </c>
      <c r="Q114" s="628" t="s">
        <v>433</v>
      </c>
      <c r="R114" s="214"/>
      <c r="S114" s="2"/>
    </row>
    <row r="115" spans="1:19" s="215" customFormat="1" ht="162" outlineLevel="1" x14ac:dyDescent="0.25">
      <c r="A115" s="511">
        <v>68</v>
      </c>
      <c r="B115" s="579" t="s">
        <v>272</v>
      </c>
      <c r="C115" s="579" t="s">
        <v>273</v>
      </c>
      <c r="D115" s="579" t="s">
        <v>414</v>
      </c>
      <c r="E115" s="579"/>
      <c r="F115" s="646" t="s">
        <v>405</v>
      </c>
      <c r="G115" s="646" t="s">
        <v>328</v>
      </c>
      <c r="H115" s="646" t="s">
        <v>327</v>
      </c>
      <c r="I115" s="367" t="s">
        <v>51</v>
      </c>
      <c r="J115" s="287">
        <v>562500000</v>
      </c>
      <c r="K115" s="515">
        <v>562500000</v>
      </c>
      <c r="L115" s="651"/>
      <c r="M115" s="515"/>
      <c r="N115" s="515"/>
      <c r="O115" s="578">
        <f t="shared" si="5"/>
        <v>562500000</v>
      </c>
      <c r="P115" s="653" t="s">
        <v>111</v>
      </c>
      <c r="Q115" s="649" t="s">
        <v>433</v>
      </c>
      <c r="R115" s="214"/>
      <c r="S115" s="2"/>
    </row>
    <row r="116" spans="1:19" s="215" customFormat="1" ht="95.25" outlineLevel="1" thickBot="1" x14ac:dyDescent="0.3">
      <c r="A116" s="630">
        <v>69</v>
      </c>
      <c r="B116" s="522" t="s">
        <v>272</v>
      </c>
      <c r="C116" s="522" t="s">
        <v>326</v>
      </c>
      <c r="D116" s="522" t="s">
        <v>414</v>
      </c>
      <c r="E116" s="522"/>
      <c r="F116" s="523" t="s">
        <v>405</v>
      </c>
      <c r="G116" s="523"/>
      <c r="H116" s="523" t="s">
        <v>401</v>
      </c>
      <c r="I116" s="522" t="s">
        <v>51</v>
      </c>
      <c r="J116" s="634">
        <f>2000000000+7300000000</f>
        <v>9300000000</v>
      </c>
      <c r="K116" s="654">
        <f>9024295000</f>
        <v>9024295000</v>
      </c>
      <c r="L116" s="655"/>
      <c r="M116" s="654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+3005301+408727.2+3440908.5+14162695+98148+291594+205919+250000+77038</f>
        <v>8840805713.5000076</v>
      </c>
      <c r="N116" s="654">
        <f>34040214.6+16030636.8+1797857.1+7375602.5+3983531.1+11814600.3+22459610.6+9668538.8+11671711.4+6908264.6+1329981.6</f>
        <v>127080549.39999999</v>
      </c>
      <c r="O116" s="635">
        <f t="shared" si="5"/>
        <v>183489286.49999237</v>
      </c>
      <c r="P116" s="636" t="s">
        <v>111</v>
      </c>
      <c r="Q116" s="637" t="s">
        <v>433</v>
      </c>
      <c r="R116" s="214"/>
      <c r="S116" s="2"/>
    </row>
    <row r="117" spans="1:19" s="594" customFormat="1" ht="30" customHeight="1" x14ac:dyDescent="0.25">
      <c r="A117" s="587" t="s">
        <v>351</v>
      </c>
      <c r="B117" s="588"/>
      <c r="C117" s="589"/>
      <c r="D117" s="638"/>
      <c r="E117" s="638"/>
      <c r="F117" s="639"/>
      <c r="G117" s="639"/>
      <c r="H117" s="639"/>
      <c r="I117" s="656" t="s">
        <v>30</v>
      </c>
      <c r="J117" s="640">
        <f>SUMIF($I$111:$I$116,I117,$J$111:$J$116)</f>
        <v>0</v>
      </c>
      <c r="K117" s="640">
        <f>SUMIF($I$111:$I$116,I117,$K$111:$K$116)</f>
        <v>0</v>
      </c>
      <c r="L117" s="640"/>
      <c r="M117" s="640">
        <f>SUMIF($I$111:$I$116,I117,$M$111:$M$116)</f>
        <v>0</v>
      </c>
      <c r="N117" s="640">
        <f>SUMIF($I$111:$I$116,I117,$N$111:$N$116)</f>
        <v>0</v>
      </c>
      <c r="O117" s="640">
        <f>SUMIF($I$111:$I$116,I117,$O$111:$O$116)</f>
        <v>0</v>
      </c>
      <c r="P117" s="641"/>
      <c r="Q117" s="593"/>
      <c r="R117" s="214"/>
      <c r="S117" s="2"/>
    </row>
    <row r="118" spans="1:19" s="594" customFormat="1" ht="27" customHeight="1" x14ac:dyDescent="0.25">
      <c r="A118" s="595"/>
      <c r="B118" s="596"/>
      <c r="C118" s="597"/>
      <c r="D118" s="562"/>
      <c r="E118" s="562"/>
      <c r="F118" s="598"/>
      <c r="G118" s="598"/>
      <c r="H118" s="598"/>
      <c r="I118" s="657" t="s">
        <v>51</v>
      </c>
      <c r="J118" s="640">
        <f>SUMIF($I$111:$I$116,I118,$J$111:$J$116)</f>
        <v>24909500000</v>
      </c>
      <c r="K118" s="599">
        <f>SUMIF($I$111:$I$116,I118,$K$111:$K$116)</f>
        <v>24586795000</v>
      </c>
      <c r="L118" s="599"/>
      <c r="M118" s="599">
        <f>SUMIF($I$111:$I$116,I118,$M$111:$M$116)</f>
        <v>14839464463.300007</v>
      </c>
      <c r="N118" s="599">
        <f>SUMIF($I$111:$I$116,I118,$N$111:$N$116)</f>
        <v>639983383.70000005</v>
      </c>
      <c r="O118" s="599">
        <f>SUMIF($I$111:$I$116,I118,$O$111:$O$116)</f>
        <v>9747330536.6999931</v>
      </c>
      <c r="P118" s="600"/>
      <c r="Q118" s="601"/>
      <c r="R118" s="214"/>
      <c r="S118" s="2"/>
    </row>
    <row r="119" spans="1:19" s="594" customFormat="1" ht="28.5" customHeight="1" x14ac:dyDescent="0.25">
      <c r="A119" s="595"/>
      <c r="B119" s="596"/>
      <c r="C119" s="597"/>
      <c r="D119" s="562"/>
      <c r="E119" s="562"/>
      <c r="F119" s="598"/>
      <c r="G119" s="598"/>
      <c r="H119" s="598"/>
      <c r="I119" s="657" t="s">
        <v>26</v>
      </c>
      <c r="J119" s="640">
        <f>SUMIF($I$111:$I$116,I119,$J$111:$J$116)</f>
        <v>0</v>
      </c>
      <c r="K119" s="599">
        <f>SUMIF($I$111:$I$116,I119,$K$111:$K$116)</f>
        <v>0</v>
      </c>
      <c r="L119" s="599"/>
      <c r="M119" s="599">
        <f>SUMIF($I$111:$I$116,I119,$M$111:$M$116)</f>
        <v>0</v>
      </c>
      <c r="N119" s="599">
        <f>SUMIF($I$111:$I$116,I119,$N$111:$N$116)</f>
        <v>0</v>
      </c>
      <c r="O119" s="599">
        <f>SUMIF($I$111:$I$116,I119,$O$111:$O$116)</f>
        <v>0</v>
      </c>
      <c r="P119" s="600"/>
      <c r="Q119" s="601"/>
      <c r="R119" s="10"/>
      <c r="S119" s="2"/>
    </row>
    <row r="120" spans="1:19" s="594" customFormat="1" ht="30" customHeight="1" thickBot="1" x14ac:dyDescent="0.3">
      <c r="A120" s="606"/>
      <c r="B120" s="607"/>
      <c r="C120" s="608"/>
      <c r="D120" s="626"/>
      <c r="E120" s="626"/>
      <c r="F120" s="609"/>
      <c r="G120" s="609"/>
      <c r="H120" s="609"/>
      <c r="I120" s="612" t="s">
        <v>18</v>
      </c>
      <c r="J120" s="613">
        <f>SUMIF($I$111:$I$116,I120,$J$111:$J$116)</f>
        <v>0</v>
      </c>
      <c r="K120" s="613">
        <f>SUMIF($I$111:$I$116,I120,$K$111:$K$116)</f>
        <v>0</v>
      </c>
      <c r="L120" s="613"/>
      <c r="M120" s="613">
        <f>SUMIF($I$111:$I$116,I120,$M$111:$M$116)</f>
        <v>0</v>
      </c>
      <c r="N120" s="613">
        <f>SUMIF($I$111:$I$116,I120,$N$111:$N$116)</f>
        <v>0</v>
      </c>
      <c r="O120" s="613">
        <f>SUMIF($I$111:$I$116,I120,$O$111:$O$116)</f>
        <v>0</v>
      </c>
      <c r="P120" s="614"/>
      <c r="Q120" s="615"/>
      <c r="R120" s="10"/>
      <c r="S120" s="2"/>
    </row>
    <row r="121" spans="1:19" s="215" customFormat="1" ht="121.5" outlineLevel="1" x14ac:dyDescent="0.25">
      <c r="A121" s="511">
        <v>70</v>
      </c>
      <c r="B121" s="658" t="s">
        <v>246</v>
      </c>
      <c r="C121" s="658" t="s">
        <v>244</v>
      </c>
      <c r="D121" s="579" t="s">
        <v>414</v>
      </c>
      <c r="E121" s="579"/>
      <c r="F121" s="579" t="s">
        <v>405</v>
      </c>
      <c r="G121" s="646" t="s">
        <v>255</v>
      </c>
      <c r="H121" s="646" t="s">
        <v>247</v>
      </c>
      <c r="I121" s="282" t="s">
        <v>51</v>
      </c>
      <c r="J121" s="659">
        <v>574491741</v>
      </c>
      <c r="K121" s="659">
        <v>574491741</v>
      </c>
      <c r="L121" s="660">
        <v>1E-4</v>
      </c>
      <c r="M121" s="659">
        <f>132575017.2</f>
        <v>132575017.2</v>
      </c>
      <c r="N121" s="659">
        <f>85623+14165+39966.7</f>
        <v>139754.70000000001</v>
      </c>
      <c r="O121" s="578">
        <f t="shared" ref="O121:O133" si="6">K121-M121</f>
        <v>441916723.80000001</v>
      </c>
      <c r="P121" s="653" t="s">
        <v>248</v>
      </c>
      <c r="Q121" s="661" t="s">
        <v>433</v>
      </c>
      <c r="R121" s="214"/>
      <c r="S121" s="2"/>
    </row>
    <row r="122" spans="1:19" s="215" customFormat="1" ht="108" outlineLevel="1" x14ac:dyDescent="0.25">
      <c r="A122" s="225">
        <v>71</v>
      </c>
      <c r="B122" s="499" t="s">
        <v>249</v>
      </c>
      <c r="C122" s="499" t="s">
        <v>244</v>
      </c>
      <c r="D122" s="553" t="s">
        <v>414</v>
      </c>
      <c r="E122" s="553"/>
      <c r="F122" s="553" t="s">
        <v>405</v>
      </c>
      <c r="G122" s="616" t="s">
        <v>256</v>
      </c>
      <c r="H122" s="616" t="s">
        <v>250</v>
      </c>
      <c r="I122" s="282" t="s">
        <v>51</v>
      </c>
      <c r="J122" s="647">
        <v>98612371</v>
      </c>
      <c r="K122" s="516">
        <v>98612371</v>
      </c>
      <c r="L122" s="556">
        <v>1E-4</v>
      </c>
      <c r="M122" s="516"/>
      <c r="N122" s="516">
        <v>17060</v>
      </c>
      <c r="O122" s="585">
        <f t="shared" si="6"/>
        <v>98612371</v>
      </c>
      <c r="P122" s="648" t="s">
        <v>251</v>
      </c>
      <c r="Q122" s="628" t="s">
        <v>433</v>
      </c>
      <c r="R122" s="214"/>
      <c r="S122" s="2"/>
    </row>
    <row r="123" spans="1:19" s="215" customFormat="1" ht="108" outlineLevel="1" x14ac:dyDescent="0.25">
      <c r="A123" s="225">
        <v>72</v>
      </c>
      <c r="B123" s="499" t="s">
        <v>252</v>
      </c>
      <c r="C123" s="499" t="s">
        <v>244</v>
      </c>
      <c r="D123" s="553" t="s">
        <v>414</v>
      </c>
      <c r="E123" s="553"/>
      <c r="F123" s="553" t="s">
        <v>405</v>
      </c>
      <c r="G123" s="616" t="s">
        <v>257</v>
      </c>
      <c r="H123" s="616" t="s">
        <v>280</v>
      </c>
      <c r="I123" s="282" t="s">
        <v>51</v>
      </c>
      <c r="J123" s="647">
        <v>60132468</v>
      </c>
      <c r="K123" s="516">
        <v>60132468</v>
      </c>
      <c r="L123" s="556">
        <v>1E-4</v>
      </c>
      <c r="M123" s="516">
        <f>4625574.5+4625574.5+4625574.5+4625574.5+4625575+4625575+4625575+4625575+4625575+4625575+4625575+4625575</f>
        <v>55506898</v>
      </c>
      <c r="N123" s="516">
        <f>10367+1511.2+1400+1500+1500+1000+20000+1000</f>
        <v>38278.199999999997</v>
      </c>
      <c r="O123" s="585">
        <f t="shared" si="6"/>
        <v>4625570</v>
      </c>
      <c r="P123" s="648" t="s">
        <v>253</v>
      </c>
      <c r="Q123" s="628" t="s">
        <v>428</v>
      </c>
      <c r="R123" s="226"/>
      <c r="S123" s="2"/>
    </row>
    <row r="124" spans="1:19" s="215" customFormat="1" ht="108" outlineLevel="1" x14ac:dyDescent="0.25">
      <c r="A124" s="225">
        <v>73</v>
      </c>
      <c r="B124" s="499" t="s">
        <v>258</v>
      </c>
      <c r="C124" s="499" t="s">
        <v>244</v>
      </c>
      <c r="D124" s="553" t="s">
        <v>414</v>
      </c>
      <c r="E124" s="553"/>
      <c r="F124" s="553" t="s">
        <v>405</v>
      </c>
      <c r="G124" s="616" t="s">
        <v>245</v>
      </c>
      <c r="H124" s="616" t="s">
        <v>281</v>
      </c>
      <c r="I124" s="282" t="s">
        <v>51</v>
      </c>
      <c r="J124" s="284">
        <f>9500000+12453199</f>
        <v>21953199</v>
      </c>
      <c r="K124" s="516">
        <f>9500000+12453199</f>
        <v>21953199</v>
      </c>
      <c r="L124" s="556">
        <v>1E-4</v>
      </c>
      <c r="M124" s="516"/>
      <c r="N124" s="516">
        <v>3720</v>
      </c>
      <c r="O124" s="585">
        <f t="shared" si="6"/>
        <v>21953199</v>
      </c>
      <c r="P124" s="648" t="s">
        <v>283</v>
      </c>
      <c r="Q124" s="628" t="s">
        <v>433</v>
      </c>
      <c r="R124" s="226"/>
      <c r="S124" s="2"/>
    </row>
    <row r="125" spans="1:19" s="215" customFormat="1" ht="129.75" customHeight="1" outlineLevel="1" x14ac:dyDescent="0.25">
      <c r="A125" s="225">
        <v>74</v>
      </c>
      <c r="B125" s="499" t="s">
        <v>259</v>
      </c>
      <c r="C125" s="499" t="s">
        <v>244</v>
      </c>
      <c r="D125" s="553" t="s">
        <v>414</v>
      </c>
      <c r="E125" s="553"/>
      <c r="F125" s="553" t="s">
        <v>405</v>
      </c>
      <c r="G125" s="616" t="s">
        <v>245</v>
      </c>
      <c r="H125" s="616" t="s">
        <v>282</v>
      </c>
      <c r="I125" s="282" t="s">
        <v>51</v>
      </c>
      <c r="J125" s="647">
        <v>15801400</v>
      </c>
      <c r="K125" s="516">
        <v>15801400</v>
      </c>
      <c r="L125" s="556">
        <v>1E-4</v>
      </c>
      <c r="M125" s="516"/>
      <c r="N125" s="516">
        <v>3500</v>
      </c>
      <c r="O125" s="585">
        <f t="shared" si="6"/>
        <v>15801400</v>
      </c>
      <c r="P125" s="648" t="s">
        <v>284</v>
      </c>
      <c r="Q125" s="628" t="s">
        <v>433</v>
      </c>
      <c r="R125" s="226"/>
      <c r="S125" s="2"/>
    </row>
    <row r="126" spans="1:19" s="215" customFormat="1" ht="129.75" customHeight="1" outlineLevel="1" x14ac:dyDescent="0.25">
      <c r="A126" s="225">
        <v>75</v>
      </c>
      <c r="B126" s="499" t="s">
        <v>260</v>
      </c>
      <c r="C126" s="499" t="s">
        <v>244</v>
      </c>
      <c r="D126" s="553" t="s">
        <v>414</v>
      </c>
      <c r="E126" s="553"/>
      <c r="F126" s="553" t="s">
        <v>405</v>
      </c>
      <c r="G126" s="616" t="s">
        <v>245</v>
      </c>
      <c r="H126" s="616" t="s">
        <v>282</v>
      </c>
      <c r="I126" s="282" t="s">
        <v>51</v>
      </c>
      <c r="J126" s="647">
        <v>2554000</v>
      </c>
      <c r="K126" s="516">
        <v>2554000</v>
      </c>
      <c r="L126" s="556">
        <v>1E-4</v>
      </c>
      <c r="M126" s="516"/>
      <c r="N126" s="516">
        <f>500</f>
        <v>500</v>
      </c>
      <c r="O126" s="585">
        <f t="shared" si="6"/>
        <v>2554000</v>
      </c>
      <c r="P126" s="648" t="s">
        <v>285</v>
      </c>
      <c r="Q126" s="628" t="s">
        <v>433</v>
      </c>
      <c r="R126" s="226"/>
      <c r="S126" s="2"/>
    </row>
    <row r="127" spans="1:19" s="215" customFormat="1" ht="129.75" customHeight="1" outlineLevel="1" x14ac:dyDescent="0.25">
      <c r="A127" s="225">
        <v>76</v>
      </c>
      <c r="B127" s="499" t="s">
        <v>261</v>
      </c>
      <c r="C127" s="499" t="s">
        <v>244</v>
      </c>
      <c r="D127" s="553" t="s">
        <v>414</v>
      </c>
      <c r="E127" s="553"/>
      <c r="F127" s="553" t="s">
        <v>405</v>
      </c>
      <c r="G127" s="616" t="s">
        <v>245</v>
      </c>
      <c r="H127" s="616" t="s">
        <v>286</v>
      </c>
      <c r="I127" s="282" t="s">
        <v>51</v>
      </c>
      <c r="J127" s="647">
        <v>29053320</v>
      </c>
      <c r="K127" s="516">
        <v>29053320</v>
      </c>
      <c r="L127" s="556">
        <v>1E-4</v>
      </c>
      <c r="M127" s="516"/>
      <c r="N127" s="516">
        <f>2000+3000</f>
        <v>5000</v>
      </c>
      <c r="O127" s="585">
        <f t="shared" si="6"/>
        <v>29053320</v>
      </c>
      <c r="P127" s="648" t="s">
        <v>268</v>
      </c>
      <c r="Q127" s="628" t="s">
        <v>433</v>
      </c>
      <c r="R127" s="226"/>
      <c r="S127" s="2"/>
    </row>
    <row r="128" spans="1:19" s="215" customFormat="1" ht="129.75" customHeight="1" outlineLevel="1" x14ac:dyDescent="0.25">
      <c r="A128" s="225">
        <v>77</v>
      </c>
      <c r="B128" s="499" t="s">
        <v>262</v>
      </c>
      <c r="C128" s="499" t="s">
        <v>244</v>
      </c>
      <c r="D128" s="553" t="s">
        <v>414</v>
      </c>
      <c r="E128" s="553"/>
      <c r="F128" s="553" t="s">
        <v>405</v>
      </c>
      <c r="G128" s="616" t="s">
        <v>245</v>
      </c>
      <c r="H128" s="616" t="s">
        <v>287</v>
      </c>
      <c r="I128" s="282" t="s">
        <v>51</v>
      </c>
      <c r="J128" s="647">
        <v>192064443</v>
      </c>
      <c r="K128" s="516">
        <f>95000000+97064443</f>
        <v>192064443</v>
      </c>
      <c r="L128" s="556">
        <v>1E-4</v>
      </c>
      <c r="M128" s="516">
        <f>65000000+20000000+30000000+10000000+10000000</f>
        <v>135000000</v>
      </c>
      <c r="N128" s="516">
        <f>16100+12200+23933</f>
        <v>52233</v>
      </c>
      <c r="O128" s="585">
        <f t="shared" si="6"/>
        <v>57064443</v>
      </c>
      <c r="P128" s="648" t="s">
        <v>350</v>
      </c>
      <c r="Q128" s="628" t="s">
        <v>428</v>
      </c>
      <c r="R128" s="226"/>
      <c r="S128" s="2"/>
    </row>
    <row r="129" spans="1:19" s="215" customFormat="1" ht="129.75" customHeight="1" outlineLevel="1" x14ac:dyDescent="0.25">
      <c r="A129" s="225">
        <v>78</v>
      </c>
      <c r="B129" s="499" t="s">
        <v>263</v>
      </c>
      <c r="C129" s="499" t="s">
        <v>244</v>
      </c>
      <c r="D129" s="553" t="s">
        <v>414</v>
      </c>
      <c r="E129" s="553"/>
      <c r="F129" s="553" t="s">
        <v>405</v>
      </c>
      <c r="G129" s="616" t="s">
        <v>245</v>
      </c>
      <c r="H129" s="616" t="s">
        <v>288</v>
      </c>
      <c r="I129" s="282" t="s">
        <v>51</v>
      </c>
      <c r="J129" s="647">
        <v>3469534</v>
      </c>
      <c r="K129" s="516">
        <v>3469534</v>
      </c>
      <c r="L129" s="556">
        <v>1E-4</v>
      </c>
      <c r="M129" s="516">
        <v>266887</v>
      </c>
      <c r="N129" s="516">
        <f>600+86</f>
        <v>686</v>
      </c>
      <c r="O129" s="585">
        <f t="shared" si="6"/>
        <v>3202647</v>
      </c>
      <c r="P129" s="648" t="s">
        <v>289</v>
      </c>
      <c r="Q129" s="628" t="s">
        <v>433</v>
      </c>
      <c r="R129" s="226"/>
      <c r="S129" s="2"/>
    </row>
    <row r="130" spans="1:19" s="215" customFormat="1" ht="129.75" customHeight="1" outlineLevel="1" x14ac:dyDescent="0.25">
      <c r="A130" s="225">
        <v>79</v>
      </c>
      <c r="B130" s="499" t="s">
        <v>270</v>
      </c>
      <c r="C130" s="499" t="s">
        <v>244</v>
      </c>
      <c r="D130" s="553" t="s">
        <v>414</v>
      </c>
      <c r="E130" s="553"/>
      <c r="F130" s="553" t="s">
        <v>405</v>
      </c>
      <c r="G130" s="616" t="s">
        <v>245</v>
      </c>
      <c r="H130" s="616" t="s">
        <v>291</v>
      </c>
      <c r="I130" s="282" t="s">
        <v>51</v>
      </c>
      <c r="J130" s="647">
        <v>11781702</v>
      </c>
      <c r="K130" s="516">
        <v>11781702</v>
      </c>
      <c r="L130" s="556">
        <v>1E-4</v>
      </c>
      <c r="M130" s="516">
        <f>906285+906285+906285+906285+906285+906285+906285+906285+906285+906285+906285</f>
        <v>9969135</v>
      </c>
      <c r="N130" s="516">
        <f>3000+1500+1500</f>
        <v>6000</v>
      </c>
      <c r="O130" s="585">
        <f t="shared" si="6"/>
        <v>1812567</v>
      </c>
      <c r="P130" s="648" t="s">
        <v>290</v>
      </c>
      <c r="Q130" s="628" t="s">
        <v>428</v>
      </c>
      <c r="R130" s="226"/>
      <c r="S130" s="2"/>
    </row>
    <row r="131" spans="1:19" s="215" customFormat="1" ht="129.75" customHeight="1" outlineLevel="1" x14ac:dyDescent="0.25">
      <c r="A131" s="225">
        <v>0</v>
      </c>
      <c r="B131" s="499" t="s">
        <v>264</v>
      </c>
      <c r="C131" s="499" t="s">
        <v>244</v>
      </c>
      <c r="D131" s="553" t="s">
        <v>414</v>
      </c>
      <c r="E131" s="553"/>
      <c r="F131" s="553" t="s">
        <v>405</v>
      </c>
      <c r="G131" s="616" t="s">
        <v>245</v>
      </c>
      <c r="H131" s="616" t="s">
        <v>292</v>
      </c>
      <c r="I131" s="282" t="s">
        <v>51</v>
      </c>
      <c r="J131" s="647">
        <f>112000000+16200000</f>
        <v>128200000</v>
      </c>
      <c r="K131" s="516">
        <f>112000000+16200000</f>
        <v>128200000</v>
      </c>
      <c r="L131" s="556">
        <v>1E-4</v>
      </c>
      <c r="M131" s="516">
        <f>3000000+3000000+4000000</f>
        <v>10000000</v>
      </c>
      <c r="N131" s="516">
        <f>25640+12820+12820+12820</f>
        <v>64100</v>
      </c>
      <c r="O131" s="585">
        <f t="shared" si="6"/>
        <v>118200000</v>
      </c>
      <c r="P131" s="648" t="s">
        <v>293</v>
      </c>
      <c r="Q131" s="628" t="s">
        <v>433</v>
      </c>
      <c r="R131" s="226"/>
      <c r="S131" s="2"/>
    </row>
    <row r="132" spans="1:19" s="215" customFormat="1" ht="129.75" customHeight="1" outlineLevel="1" x14ac:dyDescent="0.25">
      <c r="A132" s="225">
        <v>81</v>
      </c>
      <c r="B132" s="499" t="s">
        <v>271</v>
      </c>
      <c r="C132" s="499" t="s">
        <v>244</v>
      </c>
      <c r="D132" s="553" t="s">
        <v>414</v>
      </c>
      <c r="E132" s="553"/>
      <c r="F132" s="553" t="s">
        <v>405</v>
      </c>
      <c r="G132" s="616" t="s">
        <v>245</v>
      </c>
      <c r="H132" s="616" t="s">
        <v>294</v>
      </c>
      <c r="I132" s="282" t="s">
        <v>51</v>
      </c>
      <c r="J132" s="647">
        <v>26127500</v>
      </c>
      <c r="K132" s="516">
        <v>26127500</v>
      </c>
      <c r="L132" s="556">
        <v>1E-4</v>
      </c>
      <c r="M132" s="516"/>
      <c r="N132" s="516">
        <f>4530</f>
        <v>4530</v>
      </c>
      <c r="O132" s="585">
        <f t="shared" si="6"/>
        <v>26127500</v>
      </c>
      <c r="P132" s="648" t="s">
        <v>349</v>
      </c>
      <c r="Q132" s="628" t="s">
        <v>433</v>
      </c>
      <c r="R132" s="226"/>
      <c r="S132" s="2"/>
    </row>
    <row r="133" spans="1:19" s="215" customFormat="1" ht="129.75" customHeight="1" outlineLevel="1" x14ac:dyDescent="0.25">
      <c r="A133" s="225">
        <v>82</v>
      </c>
      <c r="B133" s="499" t="s">
        <v>265</v>
      </c>
      <c r="C133" s="499" t="s">
        <v>244</v>
      </c>
      <c r="D133" s="553" t="s">
        <v>414</v>
      </c>
      <c r="E133" s="553"/>
      <c r="F133" s="553" t="s">
        <v>405</v>
      </c>
      <c r="G133" s="616" t="s">
        <v>245</v>
      </c>
      <c r="H133" s="616" t="s">
        <v>295</v>
      </c>
      <c r="I133" s="282" t="s">
        <v>51</v>
      </c>
      <c r="J133" s="647">
        <v>19297200</v>
      </c>
      <c r="K133" s="516">
        <f>10800000+3440000+1440000+3617200</f>
        <v>19297200</v>
      </c>
      <c r="L133" s="556">
        <v>1E-4</v>
      </c>
      <c r="M133" s="516"/>
      <c r="N133" s="516">
        <f>3000</f>
        <v>3000</v>
      </c>
      <c r="O133" s="585">
        <f t="shared" si="6"/>
        <v>19297200</v>
      </c>
      <c r="P133" s="648" t="s">
        <v>310</v>
      </c>
      <c r="Q133" s="628" t="s">
        <v>483</v>
      </c>
      <c r="R133" s="226"/>
      <c r="S133" s="2"/>
    </row>
    <row r="134" spans="1:19" s="215" customFormat="1" ht="129.75" customHeight="1" outlineLevel="1" x14ac:dyDescent="0.25">
      <c r="A134" s="225">
        <v>83</v>
      </c>
      <c r="B134" s="499" t="s">
        <v>266</v>
      </c>
      <c r="C134" s="499" t="s">
        <v>244</v>
      </c>
      <c r="D134" s="553" t="s">
        <v>414</v>
      </c>
      <c r="E134" s="553"/>
      <c r="F134" s="553" t="s">
        <v>405</v>
      </c>
      <c r="G134" s="616" t="s">
        <v>245</v>
      </c>
      <c r="H134" s="616" t="s">
        <v>288</v>
      </c>
      <c r="I134" s="282" t="s">
        <v>51</v>
      </c>
      <c r="J134" s="647">
        <v>2164000</v>
      </c>
      <c r="K134" s="516">
        <v>2164000</v>
      </c>
      <c r="L134" s="556">
        <v>1E-4</v>
      </c>
      <c r="M134" s="516">
        <f>166462+166462+165000+167000+166500+166500+67000+265923+100000</f>
        <v>1430847</v>
      </c>
      <c r="N134" s="516">
        <f>370+54.8+100+100+500</f>
        <v>1124.8</v>
      </c>
      <c r="O134" s="585">
        <f>K134-N134</f>
        <v>2162875.2000000002</v>
      </c>
      <c r="P134" s="648" t="s">
        <v>269</v>
      </c>
      <c r="Q134" s="628" t="s">
        <v>428</v>
      </c>
      <c r="R134" s="226"/>
      <c r="S134" s="2"/>
    </row>
    <row r="135" spans="1:19" s="215" customFormat="1" ht="129.75" customHeight="1" outlineLevel="1" x14ac:dyDescent="0.25">
      <c r="A135" s="225">
        <v>84</v>
      </c>
      <c r="B135" s="499" t="s">
        <v>277</v>
      </c>
      <c r="C135" s="499" t="s">
        <v>244</v>
      </c>
      <c r="D135" s="553" t="s">
        <v>414</v>
      </c>
      <c r="E135" s="553"/>
      <c r="F135" s="553" t="s">
        <v>405</v>
      </c>
      <c r="G135" s="616" t="s">
        <v>245</v>
      </c>
      <c r="H135" s="616" t="s">
        <v>296</v>
      </c>
      <c r="I135" s="282" t="s">
        <v>51</v>
      </c>
      <c r="J135" s="647">
        <v>253504102</v>
      </c>
      <c r="K135" s="516">
        <v>253504102</v>
      </c>
      <c r="L135" s="556">
        <v>1E-4</v>
      </c>
      <c r="M135" s="516">
        <f>19500316+19500316+19500315+19500315+19500315+19500315+19500316+19500316+19500316+19500316+19500316</f>
        <v>214503472</v>
      </c>
      <c r="N135" s="516">
        <f>5973+6390+6181+6389+6181.4+6390+6390+6390+6389+5407+7015+5059.2+9482.9</f>
        <v>83637.499999999985</v>
      </c>
      <c r="O135" s="585">
        <f t="shared" ref="O135:O141" si="7">K135-M135</f>
        <v>39000630</v>
      </c>
      <c r="P135" s="648" t="s">
        <v>297</v>
      </c>
      <c r="Q135" s="628" t="s">
        <v>428</v>
      </c>
      <c r="R135" s="226"/>
      <c r="S135" s="2"/>
    </row>
    <row r="136" spans="1:19" s="215" customFormat="1" ht="129.75" customHeight="1" outlineLevel="1" x14ac:dyDescent="0.25">
      <c r="A136" s="225">
        <v>85</v>
      </c>
      <c r="B136" s="499" t="s">
        <v>278</v>
      </c>
      <c r="C136" s="499" t="s">
        <v>244</v>
      </c>
      <c r="D136" s="553" t="s">
        <v>414</v>
      </c>
      <c r="E136" s="553"/>
      <c r="F136" s="553" t="s">
        <v>405</v>
      </c>
      <c r="G136" s="616" t="s">
        <v>245</v>
      </c>
      <c r="H136" s="616" t="s">
        <v>296</v>
      </c>
      <c r="I136" s="282" t="s">
        <v>51</v>
      </c>
      <c r="J136" s="647">
        <v>76200000</v>
      </c>
      <c r="K136" s="516">
        <v>76200000</v>
      </c>
      <c r="L136" s="556">
        <v>1E-4</v>
      </c>
      <c r="M136" s="516"/>
      <c r="N136" s="516">
        <f>7620+5520</f>
        <v>13140</v>
      </c>
      <c r="O136" s="585">
        <f t="shared" si="7"/>
        <v>76200000</v>
      </c>
      <c r="P136" s="648" t="s">
        <v>298</v>
      </c>
      <c r="Q136" s="628" t="s">
        <v>433</v>
      </c>
      <c r="R136" s="226"/>
      <c r="S136" s="2"/>
    </row>
    <row r="137" spans="1:19" s="215" customFormat="1" ht="108" outlineLevel="1" x14ac:dyDescent="0.25">
      <c r="A137" s="225">
        <v>86</v>
      </c>
      <c r="B137" s="499" t="s">
        <v>279</v>
      </c>
      <c r="C137" s="499" t="s">
        <v>244</v>
      </c>
      <c r="D137" s="553" t="s">
        <v>414</v>
      </c>
      <c r="E137" s="553"/>
      <c r="F137" s="553" t="s">
        <v>405</v>
      </c>
      <c r="G137" s="616" t="s">
        <v>245</v>
      </c>
      <c r="H137" s="616" t="s">
        <v>299</v>
      </c>
      <c r="I137" s="282" t="s">
        <v>51</v>
      </c>
      <c r="J137" s="647">
        <v>50613970</v>
      </c>
      <c r="K137" s="516">
        <v>50613970</v>
      </c>
      <c r="L137" s="556">
        <v>1E-4</v>
      </c>
      <c r="M137" s="516"/>
      <c r="N137" s="516">
        <f>8800+8800</f>
        <v>17600</v>
      </c>
      <c r="O137" s="585">
        <f t="shared" si="7"/>
        <v>50613970</v>
      </c>
      <c r="P137" s="648" t="s">
        <v>300</v>
      </c>
      <c r="Q137" s="628" t="s">
        <v>433</v>
      </c>
      <c r="R137" s="226"/>
      <c r="S137" s="2"/>
    </row>
    <row r="138" spans="1:19" s="215" customFormat="1" ht="108" outlineLevel="1" x14ac:dyDescent="0.25">
      <c r="A138" s="225">
        <v>87</v>
      </c>
      <c r="B138" s="499" t="s">
        <v>311</v>
      </c>
      <c r="C138" s="499" t="s">
        <v>244</v>
      </c>
      <c r="D138" s="553" t="s">
        <v>414</v>
      </c>
      <c r="E138" s="553"/>
      <c r="F138" s="553" t="s">
        <v>405</v>
      </c>
      <c r="G138" s="616" t="s">
        <v>245</v>
      </c>
      <c r="H138" s="616" t="s">
        <v>312</v>
      </c>
      <c r="I138" s="282" t="s">
        <v>51</v>
      </c>
      <c r="J138" s="647">
        <v>184740000</v>
      </c>
      <c r="K138" s="516">
        <v>184740000</v>
      </c>
      <c r="L138" s="556">
        <v>1E-4</v>
      </c>
      <c r="M138" s="516"/>
      <c r="N138" s="516">
        <f>31700</f>
        <v>31700</v>
      </c>
      <c r="O138" s="585">
        <f t="shared" si="7"/>
        <v>184740000</v>
      </c>
      <c r="P138" s="648" t="s">
        <v>313</v>
      </c>
      <c r="Q138" s="628" t="s">
        <v>483</v>
      </c>
      <c r="R138" s="226"/>
      <c r="S138" s="2"/>
    </row>
    <row r="139" spans="1:19" s="215" customFormat="1" ht="108" outlineLevel="1" x14ac:dyDescent="0.25">
      <c r="A139" s="225">
        <v>88</v>
      </c>
      <c r="B139" s="499" t="s">
        <v>314</v>
      </c>
      <c r="C139" s="499" t="s">
        <v>244</v>
      </c>
      <c r="D139" s="553" t="s">
        <v>414</v>
      </c>
      <c r="E139" s="553"/>
      <c r="F139" s="553" t="s">
        <v>405</v>
      </c>
      <c r="G139" s="616" t="s">
        <v>245</v>
      </c>
      <c r="H139" s="616" t="s">
        <v>315</v>
      </c>
      <c r="I139" s="282" t="s">
        <v>51</v>
      </c>
      <c r="J139" s="647">
        <v>219559596</v>
      </c>
      <c r="K139" s="516">
        <v>219559596</v>
      </c>
      <c r="L139" s="556">
        <v>1E-4</v>
      </c>
      <c r="M139" s="516">
        <f>16889200+16889200+185781196</f>
        <v>219559596</v>
      </c>
      <c r="N139" s="516">
        <f>5294+5294+27550+5533+1000</f>
        <v>44671</v>
      </c>
      <c r="O139" s="585">
        <f t="shared" si="7"/>
        <v>0</v>
      </c>
      <c r="P139" s="648" t="s">
        <v>316</v>
      </c>
      <c r="Q139" s="628" t="s">
        <v>482</v>
      </c>
      <c r="R139" s="226"/>
      <c r="S139" s="2"/>
    </row>
    <row r="140" spans="1:19" s="215" customFormat="1" ht="108" outlineLevel="1" x14ac:dyDescent="0.25">
      <c r="A140" s="225">
        <v>89</v>
      </c>
      <c r="B140" s="499" t="s">
        <v>317</v>
      </c>
      <c r="C140" s="499" t="s">
        <v>244</v>
      </c>
      <c r="D140" s="553" t="s">
        <v>414</v>
      </c>
      <c r="E140" s="553"/>
      <c r="F140" s="553" t="s">
        <v>405</v>
      </c>
      <c r="G140" s="616" t="s">
        <v>245</v>
      </c>
      <c r="H140" s="616" t="s">
        <v>312</v>
      </c>
      <c r="I140" s="282" t="s">
        <v>51</v>
      </c>
      <c r="J140" s="647">
        <v>29081500</v>
      </c>
      <c r="K140" s="516">
        <v>29081500</v>
      </c>
      <c r="L140" s="556">
        <v>1E-4</v>
      </c>
      <c r="M140" s="516"/>
      <c r="N140" s="516">
        <f>1000+4000+3000+1000+1000</f>
        <v>10000</v>
      </c>
      <c r="O140" s="585">
        <f t="shared" si="7"/>
        <v>29081500</v>
      </c>
      <c r="P140" s="648" t="s">
        <v>318</v>
      </c>
      <c r="Q140" s="628" t="s">
        <v>433</v>
      </c>
      <c r="R140" s="226"/>
      <c r="S140" s="2"/>
    </row>
    <row r="141" spans="1:19" s="215" customFormat="1" ht="123" customHeight="1" outlineLevel="1" thickBot="1" x14ac:dyDescent="0.3">
      <c r="A141" s="225">
        <v>90</v>
      </c>
      <c r="B141" s="631" t="s">
        <v>319</v>
      </c>
      <c r="C141" s="631" t="s">
        <v>244</v>
      </c>
      <c r="D141" s="522" t="s">
        <v>414</v>
      </c>
      <c r="E141" s="522"/>
      <c r="F141" s="522" t="s">
        <v>405</v>
      </c>
      <c r="G141" s="523" t="s">
        <v>245</v>
      </c>
      <c r="H141" s="523" t="s">
        <v>334</v>
      </c>
      <c r="I141" s="522" t="s">
        <v>51</v>
      </c>
      <c r="J141" s="632">
        <v>12060940</v>
      </c>
      <c r="K141" s="632">
        <v>12060940</v>
      </c>
      <c r="L141" s="584">
        <v>1E-4</v>
      </c>
      <c r="M141" s="632"/>
      <c r="N141" s="632">
        <v>2170</v>
      </c>
      <c r="O141" s="635">
        <f t="shared" si="7"/>
        <v>12060940</v>
      </c>
      <c r="P141" s="636" t="s">
        <v>320</v>
      </c>
      <c r="Q141" s="637" t="s">
        <v>433</v>
      </c>
      <c r="R141" s="226"/>
      <c r="S141" s="2"/>
    </row>
    <row r="142" spans="1:19" s="594" customFormat="1" ht="30" customHeight="1" x14ac:dyDescent="0.25">
      <c r="A142" s="595" t="s">
        <v>352</v>
      </c>
      <c r="B142" s="596"/>
      <c r="C142" s="597"/>
      <c r="D142" s="638"/>
      <c r="E142" s="638"/>
      <c r="F142" s="639"/>
      <c r="G142" s="639"/>
      <c r="H142" s="639"/>
      <c r="I142" s="663" t="s">
        <v>30</v>
      </c>
      <c r="J142" s="603">
        <f>SUMIF($I$121:$I$141,I142,$J$121:$J$141)</f>
        <v>0</v>
      </c>
      <c r="K142" s="640">
        <f>SUMIF($I$111:$I$141,I142,$K$111:$K$141)</f>
        <v>0</v>
      </c>
      <c r="L142" s="640"/>
      <c r="M142" s="640">
        <f>SUMIF($I$121:$I$141,I142,$M$121:$M$141)</f>
        <v>0</v>
      </c>
      <c r="N142" s="640">
        <f>SUMIF($I$111:$I$141,I142,$N$111:$N$141)</f>
        <v>0</v>
      </c>
      <c r="O142" s="640">
        <f>SUMIF($I$111:$I$141,I142,$O$111:$O$141)</f>
        <v>0</v>
      </c>
      <c r="P142" s="641"/>
      <c r="Q142" s="593"/>
      <c r="R142" s="10"/>
      <c r="S142" s="2"/>
    </row>
    <row r="143" spans="1:19" s="594" customFormat="1" ht="27" customHeight="1" x14ac:dyDescent="0.25">
      <c r="A143" s="595"/>
      <c r="B143" s="596"/>
      <c r="C143" s="597"/>
      <c r="D143" s="562"/>
      <c r="E143" s="562"/>
      <c r="F143" s="598"/>
      <c r="G143" s="598"/>
      <c r="H143" s="598"/>
      <c r="I143" s="664" t="s">
        <v>51</v>
      </c>
      <c r="J143" s="599">
        <f>SUMIF($I$121:$I$141,I143,$J$121:$J$141)</f>
        <v>2011462986</v>
      </c>
      <c r="K143" s="599">
        <f>SUMIF($I$121:$I$141,I143,$K$121:$K$141)</f>
        <v>2011462986</v>
      </c>
      <c r="L143" s="599"/>
      <c r="M143" s="599">
        <f>SUMIF($I$121:$I$141,I143,$M$121:$M$141)</f>
        <v>778811852.20000005</v>
      </c>
      <c r="N143" s="599">
        <f>SUMIF($I$121:$I$141,I143,$N$121:$N$141)</f>
        <v>542405.19999999995</v>
      </c>
      <c r="O143" s="599">
        <f>SUMIF($I$121:$I$141,I143,$O$121:$O$141)</f>
        <v>1234080856</v>
      </c>
      <c r="P143" s="600"/>
      <c r="Q143" s="601"/>
      <c r="R143" s="10"/>
      <c r="S143" s="2"/>
    </row>
    <row r="144" spans="1:19" s="594" customFormat="1" ht="28.5" customHeight="1" x14ac:dyDescent="0.25">
      <c r="A144" s="595"/>
      <c r="B144" s="596"/>
      <c r="C144" s="597"/>
      <c r="D144" s="562"/>
      <c r="E144" s="562"/>
      <c r="F144" s="598"/>
      <c r="G144" s="598"/>
      <c r="H144" s="598"/>
      <c r="I144" s="664" t="s">
        <v>26</v>
      </c>
      <c r="J144" s="599">
        <f>SUMIF($I$121:$I$141,I144,$J$121:$J$141)</f>
        <v>0</v>
      </c>
      <c r="K144" s="599">
        <f>SUMIF($I$111:$I$141,I144,$K$111:$K$141)</f>
        <v>0</v>
      </c>
      <c r="L144" s="599"/>
      <c r="M144" s="599">
        <f>SUMIF($I$111:$I$141,I144,$M$111:$M$141)</f>
        <v>0</v>
      </c>
      <c r="N144" s="599">
        <f>SUMIF($I$111:$I$141,I144,$N$111:$N$141)</f>
        <v>0</v>
      </c>
      <c r="O144" s="599">
        <f>SUMIF($I$111:$I$141,I144,$O$111:$O$141)</f>
        <v>0</v>
      </c>
      <c r="P144" s="600"/>
      <c r="Q144" s="601"/>
      <c r="R144" s="10"/>
      <c r="S144" s="2"/>
    </row>
    <row r="145" spans="1:19" s="594" customFormat="1" ht="30" customHeight="1" thickBot="1" x14ac:dyDescent="0.3">
      <c r="A145" s="606"/>
      <c r="B145" s="607"/>
      <c r="C145" s="608"/>
      <c r="D145" s="626"/>
      <c r="E145" s="626"/>
      <c r="F145" s="609"/>
      <c r="G145" s="609"/>
      <c r="H145" s="609"/>
      <c r="I145" s="611" t="s">
        <v>18</v>
      </c>
      <c r="J145" s="613">
        <f>SUMIF($I$121:$I$141,I145,$J$121:$J$141)</f>
        <v>0</v>
      </c>
      <c r="K145" s="613">
        <f>SUMIF($I$111:$I$141,I145,$K$111:$K$141)</f>
        <v>0</v>
      </c>
      <c r="L145" s="613"/>
      <c r="M145" s="613">
        <f>SUMIF($I$111:$I$141,I145,$M$111:$M$141)</f>
        <v>0</v>
      </c>
      <c r="N145" s="613">
        <f>SUMIF($I$111:$I$141,I145,$N$111:$N$141)</f>
        <v>0</v>
      </c>
      <c r="O145" s="613">
        <f>SUMIF($I$111:$I$141,I145,$O$111:$O$141)</f>
        <v>0</v>
      </c>
      <c r="P145" s="614"/>
      <c r="Q145" s="615"/>
      <c r="R145" s="10"/>
      <c r="S145" s="2"/>
    </row>
    <row r="146" spans="1:19" s="594" customFormat="1" ht="15.75" customHeight="1" x14ac:dyDescent="0.25">
      <c r="A146" s="587" t="s">
        <v>162</v>
      </c>
      <c r="B146" s="588"/>
      <c r="C146" s="589"/>
      <c r="D146" s="638"/>
      <c r="E146" s="638"/>
      <c r="F146" s="639"/>
      <c r="G146" s="639"/>
      <c r="H146" s="639"/>
      <c r="I146" s="663" t="s">
        <v>30</v>
      </c>
      <c r="J146" s="640">
        <f>J51+J62+J73+J107+J117+J142</f>
        <v>340755742.28000003</v>
      </c>
      <c r="K146" s="640">
        <f>K51+K62+K73+K107+K117+K142</f>
        <v>144960529.04000002</v>
      </c>
      <c r="L146" s="640">
        <f>L51+L62+L73+L107+L117+L142</f>
        <v>0</v>
      </c>
      <c r="M146" s="640">
        <f>M51+M62+M73+M107+M117+M142</f>
        <v>57735985.294390991</v>
      </c>
      <c r="N146" s="640">
        <f>N51+N62+N73+N107+N117+N142</f>
        <v>22191558.302872021</v>
      </c>
      <c r="O146" s="640">
        <f>O51+O62+O73+O107+O117+O142</f>
        <v>87986112.175609007</v>
      </c>
      <c r="P146" s="641"/>
      <c r="Q146" s="593"/>
      <c r="R146" s="10"/>
      <c r="S146" s="2"/>
    </row>
    <row r="147" spans="1:19" s="594" customFormat="1" ht="17.25" customHeight="1" x14ac:dyDescent="0.25">
      <c r="A147" s="595"/>
      <c r="B147" s="596"/>
      <c r="C147" s="597"/>
      <c r="D147" s="562"/>
      <c r="E147" s="562"/>
      <c r="F147" s="598"/>
      <c r="G147" s="598"/>
      <c r="H147" s="598"/>
      <c r="I147" s="664" t="s">
        <v>51</v>
      </c>
      <c r="J147" s="640">
        <f>J52+J63+J74+J108+J118+J143</f>
        <v>185559253304.10001</v>
      </c>
      <c r="K147" s="640">
        <f>K52+K63+K74+K108+K118+K143</f>
        <v>204046786510.81</v>
      </c>
      <c r="L147" s="640">
        <f>L52+L63+L74+L108+L118+L143</f>
        <v>0</v>
      </c>
      <c r="M147" s="640">
        <f>M52+M63+M74+M108+M118+M143</f>
        <v>103993117713.0847</v>
      </c>
      <c r="N147" s="640">
        <f>N52+N63+N74+N108+N118+N143</f>
        <v>52646321614.96727</v>
      </c>
      <c r="O147" s="640">
        <f>O52+O63+O74+O108+O118+O143</f>
        <v>99805098519.925278</v>
      </c>
      <c r="P147" s="600"/>
      <c r="Q147" s="601"/>
      <c r="R147" s="10"/>
      <c r="S147" s="2"/>
    </row>
    <row r="148" spans="1:19" s="594" customFormat="1" ht="15" customHeight="1" x14ac:dyDescent="0.25">
      <c r="A148" s="595"/>
      <c r="B148" s="596"/>
      <c r="C148" s="597"/>
      <c r="D148" s="562"/>
      <c r="E148" s="562"/>
      <c r="F148" s="598"/>
      <c r="G148" s="598"/>
      <c r="H148" s="598"/>
      <c r="I148" s="664" t="s">
        <v>26</v>
      </c>
      <c r="J148" s="640">
        <f>J53+J64+J75+J109+J119+J144</f>
        <v>521140620.31999999</v>
      </c>
      <c r="K148" s="640">
        <f>K53+K64+K75+K109+K119+K144</f>
        <v>361925758.49000001</v>
      </c>
      <c r="L148" s="640">
        <f>L53+L64+L75+L109+L119+L144</f>
        <v>0</v>
      </c>
      <c r="M148" s="640">
        <f>M53+M64+M75+M109+M119+M144</f>
        <v>139982903.56130213</v>
      </c>
      <c r="N148" s="640">
        <f>N53+N64+N75+N109+N119+N144</f>
        <v>75321627.795212448</v>
      </c>
      <c r="O148" s="640">
        <f>O53+O64+O75+O109+O119+O144</f>
        <v>221942854.92869794</v>
      </c>
      <c r="P148" s="600"/>
      <c r="Q148" s="601"/>
      <c r="R148" s="10"/>
      <c r="S148" s="2"/>
    </row>
    <row r="149" spans="1:19" s="594" customFormat="1" ht="25.5" customHeight="1" x14ac:dyDescent="0.25">
      <c r="A149" s="595"/>
      <c r="B149" s="596"/>
      <c r="C149" s="597"/>
      <c r="D149" s="562"/>
      <c r="E149" s="562"/>
      <c r="F149" s="598"/>
      <c r="G149" s="598"/>
      <c r="H149" s="598"/>
      <c r="I149" s="664" t="s">
        <v>18</v>
      </c>
      <c r="J149" s="640">
        <f>J54+J65+J76+J110+J120+J145</f>
        <v>31777311969</v>
      </c>
      <c r="K149" s="640">
        <f>K54+K65+K76+K110+K120+K145</f>
        <v>31859249643</v>
      </c>
      <c r="L149" s="640">
        <f>L54+L65+L76+L110+L120+L145</f>
        <v>0</v>
      </c>
      <c r="M149" s="640">
        <f>M54+M65+M76+M110+M120+M145</f>
        <v>13318630440.231791</v>
      </c>
      <c r="N149" s="640">
        <f>N54+N65+N76+N110+N120+N145</f>
        <v>3728665131.7821455</v>
      </c>
      <c r="O149" s="640">
        <f>O54+O65+O76+O110+O120+O145</f>
        <v>18540619202.768208</v>
      </c>
      <c r="P149" s="604"/>
      <c r="Q149" s="605"/>
      <c r="R149" s="10"/>
      <c r="S149" s="2"/>
    </row>
    <row r="150" spans="1:19" s="594" customFormat="1" ht="15" customHeight="1" thickBot="1" x14ac:dyDescent="0.3">
      <c r="A150" s="606"/>
      <c r="B150" s="607"/>
      <c r="C150" s="608"/>
      <c r="D150" s="626"/>
      <c r="E150" s="626"/>
      <c r="F150" s="609"/>
      <c r="G150" s="609"/>
      <c r="H150" s="609"/>
      <c r="I150" s="664" t="s">
        <v>216</v>
      </c>
      <c r="J150" s="640">
        <f>J55</f>
        <v>24086688</v>
      </c>
      <c r="K150" s="640">
        <f>K55</f>
        <v>18384172.012149811</v>
      </c>
      <c r="L150" s="640">
        <f>L55</f>
        <v>0</v>
      </c>
      <c r="M150" s="640">
        <f>M55</f>
        <v>4824455.8054339811</v>
      </c>
      <c r="N150" s="640">
        <f>N55</f>
        <v>3135419.4621466845</v>
      </c>
      <c r="O150" s="640">
        <f>O55</f>
        <v>13559716.206715828</v>
      </c>
      <c r="P150" s="604"/>
      <c r="Q150" s="605"/>
      <c r="R150" s="10"/>
      <c r="S150" s="2"/>
    </row>
    <row r="151" spans="1:19" ht="51" customHeight="1" thickBot="1" x14ac:dyDescent="0.3">
      <c r="A151" s="665">
        <v>95</v>
      </c>
      <c r="B151" s="666" t="s">
        <v>579</v>
      </c>
      <c r="C151" s="667" t="s">
        <v>152</v>
      </c>
      <c r="D151" s="662" t="s">
        <v>414</v>
      </c>
      <c r="E151" s="662"/>
      <c r="F151" s="662" t="s">
        <v>405</v>
      </c>
      <c r="G151" s="662" t="s">
        <v>241</v>
      </c>
      <c r="H151" s="662" t="s">
        <v>242</v>
      </c>
      <c r="I151" s="667" t="s">
        <v>51</v>
      </c>
      <c r="J151" s="668">
        <f>834800635300+144000000000+32000000000+132000000000+3500000000+14000000000+2900000000+4000000000</f>
        <v>1167200635300</v>
      </c>
      <c r="K151" s="669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L151" s="670">
        <v>1E-4</v>
      </c>
      <c r="M151" s="669"/>
      <c r="N151" s="669"/>
      <c r="O151" s="671">
        <f>K151-M151</f>
        <v>1161789822801.3999</v>
      </c>
      <c r="P151" s="672" t="s">
        <v>111</v>
      </c>
      <c r="Q151" s="673"/>
      <c r="S151" s="594"/>
    </row>
    <row r="152" spans="1:19" ht="17.25" x14ac:dyDescent="0.3">
      <c r="B152" s="525" t="s">
        <v>51</v>
      </c>
      <c r="C152" s="526"/>
      <c r="I152" s="675"/>
      <c r="J152" s="676"/>
      <c r="K152" s="676"/>
      <c r="O152" s="678"/>
      <c r="P152" s="533"/>
      <c r="Q152" s="533"/>
    </row>
    <row r="153" spans="1:19" ht="17.25" x14ac:dyDescent="0.3">
      <c r="B153" s="525" t="s">
        <v>26</v>
      </c>
      <c r="C153" s="526">
        <v>391.59</v>
      </c>
      <c r="J153" s="676"/>
      <c r="K153" s="679"/>
      <c r="L153" s="680"/>
      <c r="N153" s="676"/>
      <c r="O153" s="681"/>
      <c r="P153" s="682"/>
      <c r="Q153" s="682"/>
    </row>
    <row r="154" spans="1:19" ht="17.25" x14ac:dyDescent="0.3">
      <c r="B154" s="525" t="s">
        <v>18</v>
      </c>
      <c r="C154" s="527">
        <v>2.5981000000000001</v>
      </c>
      <c r="K154" s="676"/>
      <c r="N154" s="676"/>
      <c r="O154" s="683"/>
      <c r="P154" s="684"/>
      <c r="Q154" s="684"/>
    </row>
    <row r="155" spans="1:19" ht="17.25" x14ac:dyDescent="0.3">
      <c r="B155" s="525" t="s">
        <v>30</v>
      </c>
      <c r="C155" s="526">
        <v>421.7</v>
      </c>
      <c r="K155" s="679"/>
      <c r="N155" s="676"/>
      <c r="O155" s="679"/>
      <c r="P155" s="684"/>
      <c r="Q155" s="684"/>
    </row>
    <row r="156" spans="1:19" ht="17.25" x14ac:dyDescent="0.3">
      <c r="B156" s="525" t="s">
        <v>216</v>
      </c>
      <c r="C156" s="526">
        <v>519.29</v>
      </c>
      <c r="N156" s="533"/>
      <c r="O156" s="676"/>
      <c r="P156" s="2"/>
      <c r="Q156" s="2"/>
    </row>
    <row r="157" spans="1:19" x14ac:dyDescent="0.25">
      <c r="P157" s="2"/>
      <c r="Q157" s="2"/>
    </row>
    <row r="158" spans="1:19" x14ac:dyDescent="0.25">
      <c r="O158" s="685"/>
    </row>
    <row r="159" spans="1:19" x14ac:dyDescent="0.25">
      <c r="C159" s="533"/>
      <c r="D159" s="533"/>
      <c r="E159" s="528"/>
      <c r="F159" s="533"/>
    </row>
  </sheetData>
  <sheetProtection formatCells="0" formatColumns="0" formatRows="0"/>
  <protectedRanges>
    <protectedRange password="C670" sqref="K78:Q81 K84:O95 P84:Q95 A69:Q72 A84:J95 A78:J81" name="Maria"/>
    <protectedRange algorithmName="SHA-512" hashValue="R0m7mG/o0t2+7dbQTzM5iQkFX2amgAS+iAGJudQnnweh07e6LDAbSuhvcwbzcp7drP+HIG4d/wHfMCXiBXmkow==" saltValue="hXh6Ce3lteSj/cvmR3BSBw==" spinCount="100000" sqref="P102:Q104 P151:Q151 P121:Q141 A151 C151:N151 A102:D104 H102:N104 E102:G102 E104:G104 F103:G103 A121:N141" name="Narine"/>
    <protectedRange algorithmName="SHA-512" hashValue="vw/tfZfxCvSE0U6Hm2G3C/Aj3bUp3KdD+IHhHinfC+crRPhv3Uapv1zQ/dMQFE5wwqt30lhFdhsH6enTApEPhg==" saltValue="AJSG7Dc7ySbRZF9wPd6fsA==" spinCount="100000" sqref="P104:Q106 K66:M66 A104:N106 K67:N67 P66:Q67 A66:J67" name="Nara"/>
    <protectedRange algorithmName="SHA-512" hashValue="2hnhy85Hze6pXZTujHMyiGA7lE9yapdzAMEgpTAQUbEvX5wkbgVJAYj8efzABUddHb+HHBXm+QO7FFQ7DdcL0Q==" saltValue="/3Se5MhqYIbXZuII16lL6A==" spinCount="100000" sqref="K111:Q116 A111:J116 A77:Q77" name="Nona"/>
    <protectedRange algorithmName="SHA-512" hashValue="vw/tfZfxCvSE0U6Hm2G3C/Aj3bUp3KdD+IHhHinfC+crRPhv3Uapv1zQ/dMQFE5wwqt30lhFdhsH6enTApEPhg==" saltValue="AJSG7Dc7ySbRZF9wPd6fsA==" spinCount="100000" sqref="N66" name="Nara_1"/>
    <protectedRange algorithmName="SHA-512" hashValue="R0m7mG/o0t2+7dbQTzM5iQkFX2amgAS+iAGJudQnnweh07e6LDAbSuhvcwbzcp7drP+HIG4d/wHfMCXiBXmkow==" saltValue="hXh6Ce3lteSj/cvmR3BSBw==" spinCount="100000" sqref="B151" name="Narine_1_1"/>
  </protectedRanges>
  <mergeCells count="123">
    <mergeCell ref="A142:C145"/>
    <mergeCell ref="A146:C150"/>
    <mergeCell ref="P97:P98"/>
    <mergeCell ref="A107:C110"/>
    <mergeCell ref="C112:C114"/>
    <mergeCell ref="A117:C120"/>
    <mergeCell ref="A97:A98"/>
    <mergeCell ref="B97:B98"/>
    <mergeCell ref="C97:C98"/>
    <mergeCell ref="D97:D98"/>
    <mergeCell ref="G97:G98"/>
    <mergeCell ref="H97:H98"/>
    <mergeCell ref="P85:P87"/>
    <mergeCell ref="A90:A91"/>
    <mergeCell ref="B90:B91"/>
    <mergeCell ref="C90:C91"/>
    <mergeCell ref="D90:D91"/>
    <mergeCell ref="G90:G91"/>
    <mergeCell ref="P90:P91"/>
    <mergeCell ref="A62:C65"/>
    <mergeCell ref="A73:C76"/>
    <mergeCell ref="A80:A81"/>
    <mergeCell ref="B80:B81"/>
    <mergeCell ref="C80:C81"/>
    <mergeCell ref="H80:H81"/>
    <mergeCell ref="D49:D50"/>
    <mergeCell ref="E49:E50"/>
    <mergeCell ref="A51:C55"/>
    <mergeCell ref="P57:P58"/>
    <mergeCell ref="A60:A61"/>
    <mergeCell ref="C60:C61"/>
    <mergeCell ref="P60:P61"/>
    <mergeCell ref="P36:P38"/>
    <mergeCell ref="B41:B42"/>
    <mergeCell ref="E41:E42"/>
    <mergeCell ref="A47:A48"/>
    <mergeCell ref="C47:C48"/>
    <mergeCell ref="E47:E48"/>
    <mergeCell ref="G47:G48"/>
    <mergeCell ref="H47:H48"/>
    <mergeCell ref="P47:P48"/>
    <mergeCell ref="H33:H34"/>
    <mergeCell ref="A36:A38"/>
    <mergeCell ref="C36:C38"/>
    <mergeCell ref="D36:D38"/>
    <mergeCell ref="E36:E38"/>
    <mergeCell ref="G36:G38"/>
    <mergeCell ref="A33:A34"/>
    <mergeCell ref="B33:B34"/>
    <mergeCell ref="C33:C34"/>
    <mergeCell ref="D33:D34"/>
    <mergeCell ref="E33:E34"/>
    <mergeCell ref="G33:G34"/>
    <mergeCell ref="C29:C30"/>
    <mergeCell ref="D29:D30"/>
    <mergeCell ref="E29:E30"/>
    <mergeCell ref="C31:C32"/>
    <mergeCell ref="D31:D32"/>
    <mergeCell ref="E31:E32"/>
    <mergeCell ref="H25:H26"/>
    <mergeCell ref="P25:P26"/>
    <mergeCell ref="A27:A28"/>
    <mergeCell ref="G27:G28"/>
    <mergeCell ref="H27:H28"/>
    <mergeCell ref="P27:P28"/>
    <mergeCell ref="C23:C24"/>
    <mergeCell ref="D23:D24"/>
    <mergeCell ref="E23:E24"/>
    <mergeCell ref="H23:H24"/>
    <mergeCell ref="P23:P24"/>
    <mergeCell ref="A25:A26"/>
    <mergeCell ref="C25:C28"/>
    <mergeCell ref="D25:D28"/>
    <mergeCell ref="E25:E28"/>
    <mergeCell ref="G25:G26"/>
    <mergeCell ref="P19:P20"/>
    <mergeCell ref="A21:A22"/>
    <mergeCell ref="G21:G22"/>
    <mergeCell ref="H21:H22"/>
    <mergeCell ref="P21:P22"/>
    <mergeCell ref="A19:A20"/>
    <mergeCell ref="C19:C22"/>
    <mergeCell ref="D19:D22"/>
    <mergeCell ref="E19:E22"/>
    <mergeCell ref="G19:G20"/>
    <mergeCell ref="H19:H20"/>
    <mergeCell ref="P15:P16"/>
    <mergeCell ref="A17:A18"/>
    <mergeCell ref="C17:C18"/>
    <mergeCell ref="D17:D18"/>
    <mergeCell ref="E17:E18"/>
    <mergeCell ref="G17:G18"/>
    <mergeCell ref="H17:H18"/>
    <mergeCell ref="P17:P18"/>
    <mergeCell ref="A15:A16"/>
    <mergeCell ref="C15:C16"/>
    <mergeCell ref="D15:D16"/>
    <mergeCell ref="E15:E16"/>
    <mergeCell ref="G15:G16"/>
    <mergeCell ref="H15:H16"/>
    <mergeCell ref="A13:A14"/>
    <mergeCell ref="C13:C14"/>
    <mergeCell ref="E13:E14"/>
    <mergeCell ref="G13:G14"/>
    <mergeCell ref="H13:H14"/>
    <mergeCell ref="P13:P14"/>
    <mergeCell ref="P9:P10"/>
    <mergeCell ref="A11:A12"/>
    <mergeCell ref="C11:C12"/>
    <mergeCell ref="E11:E12"/>
    <mergeCell ref="G11:G12"/>
    <mergeCell ref="H11:H12"/>
    <mergeCell ref="P11:P12"/>
    <mergeCell ref="A1:P1"/>
    <mergeCell ref="A2:P2"/>
    <mergeCell ref="A5:A6"/>
    <mergeCell ref="E5:E6"/>
    <mergeCell ref="G5:G6"/>
    <mergeCell ref="A9:A10"/>
    <mergeCell ref="C9:C10"/>
    <mergeCell ref="E9:E10"/>
    <mergeCell ref="G9:G10"/>
    <mergeCell ref="H9:H10"/>
  </mergeCells>
  <conditionalFormatting sqref="K5">
    <cfRule type="cellIs" dxfId="12" priority="6" operator="notEqual">
      <formula>#REF!</formula>
    </cfRule>
  </conditionalFormatting>
  <conditionalFormatting sqref="K99 K6:K35 K37:K40 K47:K49 K43:K45">
    <cfRule type="cellIs" dxfId="11" priority="5" operator="notEqual">
      <formula>#REF!</formula>
    </cfRule>
  </conditionalFormatting>
  <conditionalFormatting sqref="J21">
    <cfRule type="cellIs" dxfId="10" priority="4" operator="notEqual">
      <formula>#REF!</formula>
    </cfRule>
  </conditionalFormatting>
  <conditionalFormatting sqref="K50">
    <cfRule type="cellIs" dxfId="9" priority="3" operator="notEqual">
      <formula>#REF!</formula>
    </cfRule>
  </conditionalFormatting>
  <conditionalFormatting sqref="K83">
    <cfRule type="cellIs" dxfId="8" priority="2" operator="notEqual">
      <formula>#REF!</formula>
    </cfRule>
  </conditionalFormatting>
  <conditionalFormatting sqref="K100:K101">
    <cfRule type="cellIs" dxfId="7" priority="1" operator="notEqual">
      <formula>#REF!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71"/>
  <sheetViews>
    <sheetView tabSelected="1" topLeftCell="B1" zoomScale="90" zoomScaleNormal="90" workbookViewId="0">
      <pane xSplit="1" ySplit="4" topLeftCell="C64" activePane="bottomRight" state="frozen"/>
      <selection activeCell="B1" sqref="B1"/>
      <selection pane="topRight" activeCell="C1" sqref="C1"/>
      <selection pane="bottomLeft" activeCell="B5" sqref="B5"/>
      <selection pane="bottomRight" activeCell="C67" sqref="C67"/>
    </sheetView>
  </sheetViews>
  <sheetFormatPr defaultRowHeight="13.5" outlineLevelRow="1" x14ac:dyDescent="0.25"/>
  <cols>
    <col min="1" max="1" width="6.85546875" style="3" customWidth="1"/>
    <col min="2" max="2" width="30.42578125" style="528" customWidth="1"/>
    <col min="3" max="3" width="30.42578125" style="3" customWidth="1"/>
    <col min="4" max="4" width="20.28515625" style="3" customWidth="1"/>
    <col min="5" max="5" width="25.85546875" style="3" customWidth="1"/>
    <col min="6" max="6" width="22.140625" style="3" customWidth="1"/>
    <col min="7" max="7" width="23" style="3" customWidth="1"/>
    <col min="8" max="8" width="23.28515625" style="674" customWidth="1"/>
    <col min="9" max="9" width="20.140625" style="3" customWidth="1"/>
    <col min="10" max="10" width="16.42578125" style="3" bestFit="1" customWidth="1"/>
    <col min="11" max="11" width="21.28515625" style="3" customWidth="1"/>
    <col min="12" max="12" width="20.28515625" style="3" customWidth="1"/>
    <col min="13" max="13" width="21.7109375" style="677" customWidth="1"/>
    <col min="14" max="14" width="18.5703125" style="3" customWidth="1"/>
    <col min="15" max="15" width="18.85546875" style="3" bestFit="1" customWidth="1"/>
    <col min="16" max="16" width="26.7109375" style="3" bestFit="1" customWidth="1"/>
    <col min="17" max="17" width="26.42578125" style="3" customWidth="1"/>
    <col min="18" max="18" width="23.42578125" style="3" customWidth="1"/>
    <col min="19" max="19" width="23.5703125" style="2" customWidth="1"/>
    <col min="20" max="20" width="21.85546875" style="3" customWidth="1"/>
    <col min="21" max="16384" width="9.140625" style="3"/>
  </cols>
  <sheetData>
    <row r="1" spans="1:20" ht="22.5" x14ac:dyDescent="0.4">
      <c r="A1" s="529" t="s">
        <v>15</v>
      </c>
      <c r="B1" s="529"/>
      <c r="C1" s="529"/>
      <c r="D1" s="529"/>
      <c r="E1" s="529"/>
      <c r="F1" s="529"/>
      <c r="G1" s="529"/>
      <c r="H1" s="529"/>
      <c r="I1" s="529"/>
      <c r="J1" s="529"/>
      <c r="K1" s="529"/>
      <c r="L1" s="529"/>
      <c r="M1" s="529"/>
      <c r="N1" s="529"/>
      <c r="O1" s="529"/>
      <c r="P1" s="529"/>
      <c r="Q1" s="529"/>
      <c r="R1" s="530"/>
    </row>
    <row r="2" spans="1:20" ht="38.25" customHeight="1" x14ac:dyDescent="0.4">
      <c r="A2" s="531" t="s">
        <v>491</v>
      </c>
      <c r="B2" s="531"/>
      <c r="C2" s="531"/>
      <c r="D2" s="531"/>
      <c r="E2" s="531"/>
      <c r="F2" s="531"/>
      <c r="G2" s="531"/>
      <c r="H2" s="531"/>
      <c r="I2" s="531"/>
      <c r="J2" s="531"/>
      <c r="K2" s="531"/>
      <c r="L2" s="531"/>
      <c r="M2" s="531"/>
      <c r="N2" s="531"/>
      <c r="O2" s="531"/>
      <c r="P2" s="531"/>
      <c r="Q2" s="531"/>
      <c r="R2" s="690"/>
    </row>
    <row r="3" spans="1:20" ht="33.75" customHeight="1" thickBot="1" x14ac:dyDescent="0.3">
      <c r="A3" s="533"/>
      <c r="C3" s="533"/>
      <c r="D3" s="533"/>
      <c r="E3" s="533"/>
      <c r="F3" s="533"/>
      <c r="G3" s="533"/>
      <c r="H3" s="534"/>
      <c r="I3" s="533"/>
      <c r="J3" s="533"/>
      <c r="K3" s="533"/>
      <c r="L3" s="533"/>
      <c r="M3" s="535"/>
      <c r="N3" s="533"/>
      <c r="O3" s="533"/>
      <c r="P3" s="533"/>
      <c r="Q3" s="533"/>
      <c r="R3" s="536"/>
    </row>
    <row r="4" spans="1:20" s="6" customFormat="1" ht="114" customHeight="1" thickBot="1" x14ac:dyDescent="0.3">
      <c r="A4" s="537" t="s">
        <v>128</v>
      </c>
      <c r="B4" s="538" t="s">
        <v>35</v>
      </c>
      <c r="C4" s="538" t="s">
        <v>501</v>
      </c>
      <c r="D4" s="538" t="s">
        <v>497</v>
      </c>
      <c r="E4" s="538" t="s">
        <v>496</v>
      </c>
      <c r="F4" s="538" t="s">
        <v>435</v>
      </c>
      <c r="G4" s="538" t="s">
        <v>429</v>
      </c>
      <c r="H4" s="538" t="s">
        <v>14</v>
      </c>
      <c r="I4" s="538" t="s">
        <v>343</v>
      </c>
      <c r="J4" s="538" t="s">
        <v>20</v>
      </c>
      <c r="K4" s="538" t="s">
        <v>345</v>
      </c>
      <c r="L4" s="538" t="s">
        <v>347</v>
      </c>
      <c r="M4" s="539" t="s">
        <v>344</v>
      </c>
      <c r="N4" s="538" t="s">
        <v>5</v>
      </c>
      <c r="O4" s="538" t="s">
        <v>22</v>
      </c>
      <c r="P4" s="538" t="s">
        <v>6</v>
      </c>
      <c r="Q4" s="538" t="s">
        <v>7</v>
      </c>
      <c r="R4" s="540" t="s">
        <v>427</v>
      </c>
      <c r="S4" s="5"/>
      <c r="T4" s="541"/>
    </row>
    <row r="5" spans="1:20" ht="75" customHeight="1" outlineLevel="1" x14ac:dyDescent="0.25">
      <c r="A5" s="542">
        <v>1</v>
      </c>
      <c r="B5" s="367" t="s">
        <v>27</v>
      </c>
      <c r="C5" s="367" t="s">
        <v>40</v>
      </c>
      <c r="D5" s="513" t="s">
        <v>61</v>
      </c>
      <c r="E5" s="561" t="s">
        <v>520</v>
      </c>
      <c r="F5" s="544" t="s">
        <v>436</v>
      </c>
      <c r="G5" s="513" t="s">
        <v>430</v>
      </c>
      <c r="H5" s="545" t="s">
        <v>39</v>
      </c>
      <c r="I5" s="513" t="s">
        <v>76</v>
      </c>
      <c r="J5" s="546" t="s">
        <v>30</v>
      </c>
      <c r="K5" s="287">
        <v>7300000</v>
      </c>
      <c r="L5" s="287">
        <f>5822389.5+13412.1+4470.7+716451.75+24588.85+716451.75+2235.35</f>
        <v>7299999.9999999991</v>
      </c>
      <c r="M5" s="547" t="s">
        <v>97</v>
      </c>
      <c r="N5" s="287">
        <f>595000+119000+119000+119000+119000+119000+119000+49036330/412.07</f>
        <v>1428000</v>
      </c>
      <c r="O5" s="287">
        <f>652083.5+22907.49+9236384.2/412.07</f>
        <v>697405.58994661097</v>
      </c>
      <c r="P5" s="287">
        <f>L5-N5</f>
        <v>5871999.9999999991</v>
      </c>
      <c r="Q5" s="517" t="s">
        <v>437</v>
      </c>
      <c r="R5" s="518" t="s">
        <v>428</v>
      </c>
      <c r="T5" s="2"/>
    </row>
    <row r="6" spans="1:20" ht="75.75" customHeight="1" outlineLevel="1" x14ac:dyDescent="0.25">
      <c r="A6" s="506"/>
      <c r="B6" s="282" t="s">
        <v>27</v>
      </c>
      <c r="C6" s="282" t="s">
        <v>41</v>
      </c>
      <c r="D6" s="513" t="s">
        <v>61</v>
      </c>
      <c r="E6" s="557"/>
      <c r="F6" s="544"/>
      <c r="G6" s="368" t="s">
        <v>430</v>
      </c>
      <c r="H6" s="549"/>
      <c r="I6" s="368" t="s">
        <v>75</v>
      </c>
      <c r="J6" s="503" t="s">
        <v>30</v>
      </c>
      <c r="K6" s="284">
        <v>7300000</v>
      </c>
      <c r="L6" s="284">
        <v>7299999.9999999981</v>
      </c>
      <c r="M6" s="550" t="s">
        <v>62</v>
      </c>
      <c r="N6" s="284">
        <f>5474999.9+304166.7+304166.7+304166.7+304166.7+304166.7+304167</f>
        <v>7300000.4000000013</v>
      </c>
      <c r="O6" s="284">
        <f>1226756+8356.16+4154.77</f>
        <v>1239266.93</v>
      </c>
      <c r="P6" s="284">
        <f t="shared" ref="P6:P35" si="0">L6-N6</f>
        <v>-0.40000000316649675</v>
      </c>
      <c r="Q6" s="291" t="s">
        <v>36</v>
      </c>
      <c r="R6" s="369" t="s">
        <v>482</v>
      </c>
      <c r="T6" s="2"/>
    </row>
    <row r="7" spans="1:20" ht="79.5" customHeight="1" outlineLevel="1" x14ac:dyDescent="0.25">
      <c r="A7" s="225">
        <v>2</v>
      </c>
      <c r="B7" s="282" t="s">
        <v>27</v>
      </c>
      <c r="C7" s="282" t="s">
        <v>37</v>
      </c>
      <c r="D7" s="368" t="s">
        <v>61</v>
      </c>
      <c r="E7" s="368" t="s">
        <v>521</v>
      </c>
      <c r="F7" s="688" t="s">
        <v>438</v>
      </c>
      <c r="G7" s="368" t="s">
        <v>430</v>
      </c>
      <c r="H7" s="551" t="s">
        <v>38</v>
      </c>
      <c r="I7" s="368" t="s">
        <v>77</v>
      </c>
      <c r="J7" s="503" t="s">
        <v>30</v>
      </c>
      <c r="K7" s="284">
        <v>14060526.73</v>
      </c>
      <c r="L7" s="284">
        <v>14060526.73</v>
      </c>
      <c r="M7" s="290">
        <v>7.4999999999999997E-3</v>
      </c>
      <c r="N7" s="284">
        <f>5858552.73979552+234342.1+234342.1+98055764.9/418.43+98932204.4/422.17+104987604.2/448.01+97345708.3/415.4+96565349.2/412.07</f>
        <v>7498947.4398756567</v>
      </c>
      <c r="O7" s="284">
        <f>1294472.69934396+40254.3+39195.3+16095956/418.43+15796672.6/422.17+16433280.1/448.01+14866002.9/415.4+14315888.7/412.07</f>
        <v>1557016.8093066525</v>
      </c>
      <c r="P7" s="284">
        <f t="shared" si="0"/>
        <v>6561579.2901243437</v>
      </c>
      <c r="Q7" s="291" t="s">
        <v>108</v>
      </c>
      <c r="R7" s="369" t="s">
        <v>428</v>
      </c>
      <c r="T7" s="2"/>
    </row>
    <row r="8" spans="1:20" ht="78.75" customHeight="1" outlineLevel="1" x14ac:dyDescent="0.25">
      <c r="A8" s="225">
        <v>3</v>
      </c>
      <c r="B8" s="282" t="s">
        <v>27</v>
      </c>
      <c r="C8" s="282" t="s">
        <v>33</v>
      </c>
      <c r="D8" s="368" t="s">
        <v>61</v>
      </c>
      <c r="E8" s="368" t="s">
        <v>522</v>
      </c>
      <c r="F8" s="551" t="s">
        <v>443</v>
      </c>
      <c r="G8" s="368" t="s">
        <v>430</v>
      </c>
      <c r="H8" s="552" t="s">
        <v>34</v>
      </c>
      <c r="I8" s="368" t="s">
        <v>78</v>
      </c>
      <c r="J8" s="503" t="s">
        <v>30</v>
      </c>
      <c r="K8" s="284">
        <v>75000000</v>
      </c>
      <c r="L8" s="284"/>
      <c r="M8" s="290" t="s">
        <v>240</v>
      </c>
      <c r="N8" s="284"/>
      <c r="O8" s="284">
        <f>1932812.5+93750+93750+93750+93750+42000937.5/448.01+38943750/415.4+38631562.5/412.07</f>
        <v>2589062.5</v>
      </c>
      <c r="P8" s="284">
        <f t="shared" si="0"/>
        <v>0</v>
      </c>
      <c r="Q8" s="291" t="s">
        <v>36</v>
      </c>
      <c r="R8" s="369" t="s">
        <v>428</v>
      </c>
      <c r="T8" s="2"/>
    </row>
    <row r="9" spans="1:20" ht="81.75" customHeight="1" outlineLevel="1" x14ac:dyDescent="0.25">
      <c r="A9" s="498">
        <v>4</v>
      </c>
      <c r="B9" s="553" t="s">
        <v>27</v>
      </c>
      <c r="C9" s="500" t="s">
        <v>33</v>
      </c>
      <c r="D9" s="368" t="s">
        <v>61</v>
      </c>
      <c r="E9" s="555" t="s">
        <v>522</v>
      </c>
      <c r="F9" s="554" t="s">
        <v>443</v>
      </c>
      <c r="G9" s="368" t="s">
        <v>430</v>
      </c>
      <c r="H9" s="501" t="s">
        <v>34</v>
      </c>
      <c r="I9" s="555" t="s">
        <v>79</v>
      </c>
      <c r="J9" s="503" t="s">
        <v>30</v>
      </c>
      <c r="K9" s="284">
        <v>10200000</v>
      </c>
      <c r="L9" s="284">
        <v>1394165.42</v>
      </c>
      <c r="M9" s="556" t="s">
        <v>97</v>
      </c>
      <c r="N9" s="284">
        <v>0</v>
      </c>
      <c r="O9" s="284">
        <f>200690.672577969+15587.2+6522152.1/418.43+6580448.3/422.17+6983221.5/448.01+6474922.9/415.4+6488083.3/412.07</f>
        <v>294371.77273986983</v>
      </c>
      <c r="P9" s="284">
        <f>L9-N9</f>
        <v>1394165.42</v>
      </c>
      <c r="Q9" s="500" t="s">
        <v>36</v>
      </c>
      <c r="R9" s="369" t="s">
        <v>428</v>
      </c>
      <c r="T9" s="2"/>
    </row>
    <row r="10" spans="1:20" ht="76.5" customHeight="1" outlineLevel="1" x14ac:dyDescent="0.25">
      <c r="A10" s="506"/>
      <c r="B10" s="553" t="s">
        <v>27</v>
      </c>
      <c r="C10" s="507"/>
      <c r="D10" s="368" t="s">
        <v>414</v>
      </c>
      <c r="E10" s="557"/>
      <c r="F10" s="545"/>
      <c r="G10" s="513" t="s">
        <v>431</v>
      </c>
      <c r="H10" s="508"/>
      <c r="I10" s="557"/>
      <c r="J10" s="503" t="s">
        <v>51</v>
      </c>
      <c r="K10" s="284">
        <f>257052669.9+29984200</f>
        <v>287036869.89999998</v>
      </c>
      <c r="L10" s="284">
        <v>271452669.89999998</v>
      </c>
      <c r="M10" s="556" t="s">
        <v>97</v>
      </c>
      <c r="N10" s="284"/>
      <c r="O10" s="284">
        <f>9774294.3+915305.4+915305.4+915305.4+915305.4+937784.6</f>
        <v>14373300.500000002</v>
      </c>
      <c r="P10" s="284">
        <f>L10-N10</f>
        <v>271452669.89999998</v>
      </c>
      <c r="Q10" s="507"/>
      <c r="R10" s="518" t="s">
        <v>428</v>
      </c>
      <c r="T10" s="2"/>
    </row>
    <row r="11" spans="1:20" ht="76.5" customHeight="1" outlineLevel="1" x14ac:dyDescent="0.25">
      <c r="A11" s="498">
        <v>5</v>
      </c>
      <c r="B11" s="553" t="s">
        <v>27</v>
      </c>
      <c r="C11" s="500" t="s">
        <v>186</v>
      </c>
      <c r="D11" s="368" t="s">
        <v>56</v>
      </c>
      <c r="E11" s="555" t="s">
        <v>523</v>
      </c>
      <c r="F11" s="501" t="s">
        <v>444</v>
      </c>
      <c r="G11" s="368" t="s">
        <v>430</v>
      </c>
      <c r="H11" s="501" t="s">
        <v>190</v>
      </c>
      <c r="I11" s="555" t="s">
        <v>305</v>
      </c>
      <c r="J11" s="503" t="s">
        <v>30</v>
      </c>
      <c r="K11" s="284">
        <v>10000000</v>
      </c>
      <c r="L11" s="284"/>
      <c r="M11" s="556" t="s">
        <v>98</v>
      </c>
      <c r="N11" s="284"/>
      <c r="O11" s="284">
        <v>50000</v>
      </c>
      <c r="P11" s="284">
        <f>L11-N11</f>
        <v>0</v>
      </c>
      <c r="Q11" s="500" t="s">
        <v>196</v>
      </c>
      <c r="R11" s="369" t="s">
        <v>428</v>
      </c>
      <c r="T11" s="2"/>
    </row>
    <row r="12" spans="1:20" ht="76.5" customHeight="1" outlineLevel="1" x14ac:dyDescent="0.25">
      <c r="A12" s="506"/>
      <c r="B12" s="553" t="s">
        <v>27</v>
      </c>
      <c r="C12" s="507"/>
      <c r="D12" s="368" t="s">
        <v>414</v>
      </c>
      <c r="E12" s="557"/>
      <c r="F12" s="508"/>
      <c r="G12" s="368" t="s">
        <v>431</v>
      </c>
      <c r="H12" s="508"/>
      <c r="I12" s="557"/>
      <c r="J12" s="368" t="s">
        <v>51</v>
      </c>
      <c r="K12" s="284"/>
      <c r="L12" s="284"/>
      <c r="M12" s="556" t="s">
        <v>98</v>
      </c>
      <c r="N12" s="284"/>
      <c r="O12" s="284"/>
      <c r="P12" s="284">
        <f t="shared" si="0"/>
        <v>0</v>
      </c>
      <c r="Q12" s="507"/>
      <c r="R12" s="518" t="s">
        <v>428</v>
      </c>
      <c r="T12" s="2"/>
    </row>
    <row r="13" spans="1:20" ht="76.5" customHeight="1" outlineLevel="1" x14ac:dyDescent="0.25">
      <c r="A13" s="498">
        <v>6</v>
      </c>
      <c r="B13" s="553" t="s">
        <v>27</v>
      </c>
      <c r="C13" s="500" t="s">
        <v>187</v>
      </c>
      <c r="D13" s="368" t="s">
        <v>61</v>
      </c>
      <c r="E13" s="555" t="s">
        <v>468</v>
      </c>
      <c r="F13" s="501" t="s">
        <v>445</v>
      </c>
      <c r="G13" s="368" t="s">
        <v>430</v>
      </c>
      <c r="H13" s="501" t="s">
        <v>189</v>
      </c>
      <c r="I13" s="555" t="s">
        <v>188</v>
      </c>
      <c r="J13" s="503" t="s">
        <v>30</v>
      </c>
      <c r="K13" s="284">
        <v>83000000</v>
      </c>
      <c r="L13" s="284"/>
      <c r="M13" s="556" t="s">
        <v>415</v>
      </c>
      <c r="N13" s="284"/>
      <c r="O13" s="284">
        <f>1930326.40003794+103750+103750+103750+103750+46481037.5/448.01+43097750/415.4+42752262.5/412.07</f>
        <v>2656576.4000379397</v>
      </c>
      <c r="P13" s="284">
        <f t="shared" si="0"/>
        <v>0</v>
      </c>
      <c r="Q13" s="500" t="s">
        <v>36</v>
      </c>
      <c r="R13" s="369" t="s">
        <v>428</v>
      </c>
      <c r="T13" s="2"/>
    </row>
    <row r="14" spans="1:20" ht="76.5" customHeight="1" outlineLevel="1" x14ac:dyDescent="0.25">
      <c r="A14" s="506"/>
      <c r="B14" s="553" t="s">
        <v>27</v>
      </c>
      <c r="C14" s="507"/>
      <c r="D14" s="368" t="s">
        <v>414</v>
      </c>
      <c r="E14" s="557"/>
      <c r="F14" s="508"/>
      <c r="G14" s="368" t="s">
        <v>431</v>
      </c>
      <c r="H14" s="508"/>
      <c r="I14" s="557"/>
      <c r="J14" s="368" t="s">
        <v>51</v>
      </c>
      <c r="K14" s="284"/>
      <c r="L14" s="284"/>
      <c r="M14" s="556" t="s">
        <v>415</v>
      </c>
      <c r="N14" s="284"/>
      <c r="O14" s="284"/>
      <c r="P14" s="284">
        <f t="shared" si="0"/>
        <v>0</v>
      </c>
      <c r="Q14" s="507"/>
      <c r="R14" s="518" t="s">
        <v>428</v>
      </c>
      <c r="S14" s="10"/>
      <c r="T14" s="2"/>
    </row>
    <row r="15" spans="1:20" ht="96.75" customHeight="1" outlineLevel="1" x14ac:dyDescent="0.25">
      <c r="A15" s="498">
        <v>7</v>
      </c>
      <c r="B15" s="553" t="s">
        <v>27</v>
      </c>
      <c r="C15" s="500" t="s">
        <v>47</v>
      </c>
      <c r="D15" s="555" t="s">
        <v>48</v>
      </c>
      <c r="E15" s="555" t="s">
        <v>524</v>
      </c>
      <c r="F15" s="501" t="s">
        <v>446</v>
      </c>
      <c r="G15" s="368" t="s">
        <v>430</v>
      </c>
      <c r="H15" s="501" t="s">
        <v>49</v>
      </c>
      <c r="I15" s="555" t="s">
        <v>90</v>
      </c>
      <c r="J15" s="503" t="s">
        <v>26</v>
      </c>
      <c r="K15" s="284">
        <f>35500000-1434414.8</f>
        <v>34065585.200000003</v>
      </c>
      <c r="L15" s="284">
        <v>34065585.200000003</v>
      </c>
      <c r="M15" s="558" t="s">
        <v>399</v>
      </c>
      <c r="N15" s="284">
        <f>3406558.5+438685248.4/386.33+457603003.3/402.99+440229555/387.69+440172817.8/387.64</f>
        <v>7948636.6001575328</v>
      </c>
      <c r="O15" s="284">
        <f>6927866.15+372600334/386.33+433310604.9/402.99+419066992.3/387.69+399479184.6/387.64</f>
        <v>11079041.449912922</v>
      </c>
      <c r="P15" s="284">
        <f t="shared" si="0"/>
        <v>26116948.59984247</v>
      </c>
      <c r="Q15" s="500" t="s">
        <v>31</v>
      </c>
      <c r="R15" s="369" t="s">
        <v>428</v>
      </c>
      <c r="S15" s="10"/>
      <c r="T15" s="2"/>
    </row>
    <row r="16" spans="1:20" ht="81.75" customHeight="1" outlineLevel="1" x14ac:dyDescent="0.25">
      <c r="A16" s="506"/>
      <c r="B16" s="553" t="s">
        <v>27</v>
      </c>
      <c r="C16" s="507"/>
      <c r="D16" s="557"/>
      <c r="E16" s="557"/>
      <c r="F16" s="508"/>
      <c r="G16" s="368" t="s">
        <v>431</v>
      </c>
      <c r="H16" s="508"/>
      <c r="I16" s="557"/>
      <c r="J16" s="368" t="s">
        <v>51</v>
      </c>
      <c r="K16" s="284">
        <v>3680136115.8000002</v>
      </c>
      <c r="L16" s="284">
        <v>3680136115.8000002</v>
      </c>
      <c r="M16" s="558" t="s">
        <v>399</v>
      </c>
      <c r="N16" s="284">
        <f>387003402.1+121967878.3+121967878.3+121967878.3+121967878.2</f>
        <v>874874915.20000005</v>
      </c>
      <c r="O16" s="284">
        <f>743758864.24+103594252.5+115493072.7+116104685.6+110692047.4</f>
        <v>1189642922.4400001</v>
      </c>
      <c r="P16" s="284">
        <f t="shared" si="0"/>
        <v>2805261200.6000004</v>
      </c>
      <c r="Q16" s="507"/>
      <c r="R16" s="518" t="s">
        <v>428</v>
      </c>
      <c r="S16" s="10"/>
      <c r="T16" s="2"/>
    </row>
    <row r="17" spans="1:19" s="2" customFormat="1" ht="66.75" customHeight="1" outlineLevel="1" x14ac:dyDescent="0.25">
      <c r="A17" s="498">
        <v>8</v>
      </c>
      <c r="B17" s="553" t="s">
        <v>27</v>
      </c>
      <c r="C17" s="500" t="s">
        <v>50</v>
      </c>
      <c r="D17" s="555" t="s">
        <v>48</v>
      </c>
      <c r="E17" s="555" t="s">
        <v>525</v>
      </c>
      <c r="F17" s="501" t="s">
        <v>447</v>
      </c>
      <c r="G17" s="368" t="s">
        <v>430</v>
      </c>
      <c r="H17" s="501" t="s">
        <v>28</v>
      </c>
      <c r="I17" s="501" t="s">
        <v>91</v>
      </c>
      <c r="J17" s="503" t="s">
        <v>26</v>
      </c>
      <c r="K17" s="559">
        <f>40000000-2500000-1500000</f>
        <v>36000000</v>
      </c>
      <c r="L17" s="284">
        <v>24556939.620000001</v>
      </c>
      <c r="M17" s="290" t="s">
        <v>399</v>
      </c>
      <c r="N17" s="284">
        <f>329635002.4/388.42+336424290.8/396.42</f>
        <v>1697312.3000877418</v>
      </c>
      <c r="O17" s="284">
        <f>4091306.45123489+373977422.6/403.57+376544951.9/388.42+344941572.7/396.42</f>
        <v>6857548.4512623288</v>
      </c>
      <c r="P17" s="284">
        <f t="shared" si="0"/>
        <v>22859627.319912259</v>
      </c>
      <c r="Q17" s="500" t="s">
        <v>31</v>
      </c>
      <c r="R17" s="369" t="s">
        <v>428</v>
      </c>
      <c r="S17" s="10"/>
    </row>
    <row r="18" spans="1:19" s="2" customFormat="1" ht="58.5" customHeight="1" outlineLevel="1" x14ac:dyDescent="0.25">
      <c r="A18" s="506"/>
      <c r="B18" s="553" t="s">
        <v>27</v>
      </c>
      <c r="C18" s="507"/>
      <c r="D18" s="557"/>
      <c r="E18" s="557"/>
      <c r="F18" s="508"/>
      <c r="G18" s="368" t="s">
        <v>431</v>
      </c>
      <c r="H18" s="508"/>
      <c r="I18" s="508"/>
      <c r="J18" s="368" t="s">
        <v>51</v>
      </c>
      <c r="K18" s="559">
        <v>1298785286.0000002</v>
      </c>
      <c r="L18" s="284">
        <v>1298785286.0000002</v>
      </c>
      <c r="M18" s="290" t="s">
        <v>399</v>
      </c>
      <c r="N18" s="284">
        <f>563212.2+43274069.1+43274069.2</f>
        <v>87111350.5</v>
      </c>
      <c r="O18" s="284">
        <f>165583419.3+41681454.8+49409773.1+44369647.7</f>
        <v>301044294.90000004</v>
      </c>
      <c r="P18" s="284">
        <f t="shared" si="0"/>
        <v>1211673935.5000002</v>
      </c>
      <c r="Q18" s="507"/>
      <c r="R18" s="518" t="s">
        <v>428</v>
      </c>
      <c r="S18" s="10"/>
    </row>
    <row r="19" spans="1:19" s="2" customFormat="1" ht="70.5" customHeight="1" outlineLevel="1" x14ac:dyDescent="0.25">
      <c r="A19" s="498">
        <v>9</v>
      </c>
      <c r="B19" s="499" t="s">
        <v>27</v>
      </c>
      <c r="C19" s="500" t="s">
        <v>142</v>
      </c>
      <c r="D19" s="555" t="s">
        <v>48</v>
      </c>
      <c r="E19" s="555" t="s">
        <v>526</v>
      </c>
      <c r="F19" s="549" t="s">
        <v>442</v>
      </c>
      <c r="G19" s="368" t="s">
        <v>430</v>
      </c>
      <c r="H19" s="544" t="s">
        <v>143</v>
      </c>
      <c r="I19" s="501" t="s">
        <v>218</v>
      </c>
      <c r="J19" s="503" t="s">
        <v>26</v>
      </c>
      <c r="K19" s="559">
        <v>23194486</v>
      </c>
      <c r="L19" s="284">
        <v>16720826.98</v>
      </c>
      <c r="M19" s="556" t="s">
        <v>399</v>
      </c>
      <c r="N19" s="284">
        <v>0</v>
      </c>
      <c r="O19" s="284">
        <f>1316813.632+122778919.2/386.33+153358408.7/402.99+182294474.3/387.69+212998140.2/387.64</f>
        <v>3034854.3323239107</v>
      </c>
      <c r="P19" s="284">
        <f t="shared" si="0"/>
        <v>16720826.98</v>
      </c>
      <c r="Q19" s="500" t="s">
        <v>31</v>
      </c>
      <c r="R19" s="369" t="s">
        <v>428</v>
      </c>
      <c r="S19" s="10"/>
    </row>
    <row r="20" spans="1:19" s="2" customFormat="1" ht="66.75" customHeight="1" outlineLevel="1" x14ac:dyDescent="0.25">
      <c r="A20" s="506"/>
      <c r="B20" s="499" t="s">
        <v>27</v>
      </c>
      <c r="C20" s="560"/>
      <c r="D20" s="561"/>
      <c r="E20" s="561"/>
      <c r="F20" s="549"/>
      <c r="G20" s="368" t="s">
        <v>431</v>
      </c>
      <c r="H20" s="544"/>
      <c r="I20" s="508"/>
      <c r="J20" s="368" t="s">
        <v>51</v>
      </c>
      <c r="K20" s="559">
        <f>1973431541.9+126888600</f>
        <v>2100320141.9000001</v>
      </c>
      <c r="L20" s="284">
        <v>1973636541.8999999</v>
      </c>
      <c r="M20" s="556" t="s">
        <v>399</v>
      </c>
      <c r="N20" s="284">
        <v>91463799.799999997</v>
      </c>
      <c r="O20" s="284">
        <f>119885553.7+36155098.5+43333756.7+53344969.4+61110243.5</f>
        <v>313829621.79999995</v>
      </c>
      <c r="P20" s="284">
        <f t="shared" si="0"/>
        <v>1882172742.0999999</v>
      </c>
      <c r="Q20" s="507"/>
      <c r="R20" s="369" t="s">
        <v>428</v>
      </c>
      <c r="S20" s="10"/>
    </row>
    <row r="21" spans="1:19" s="2" customFormat="1" ht="48" customHeight="1" outlineLevel="1" x14ac:dyDescent="0.25">
      <c r="A21" s="498">
        <v>10</v>
      </c>
      <c r="B21" s="499" t="s">
        <v>144</v>
      </c>
      <c r="C21" s="560"/>
      <c r="D21" s="561"/>
      <c r="E21" s="561"/>
      <c r="F21" s="549"/>
      <c r="G21" s="368" t="s">
        <v>430</v>
      </c>
      <c r="H21" s="501" t="s">
        <v>165</v>
      </c>
      <c r="I21" s="501" t="s">
        <v>218</v>
      </c>
      <c r="J21" s="503" t="s">
        <v>26</v>
      </c>
      <c r="K21" s="284">
        <v>16662617.070000002</v>
      </c>
      <c r="L21" s="284">
        <v>16662617.070000002</v>
      </c>
      <c r="M21" s="556" t="s">
        <v>399</v>
      </c>
      <c r="N21" s="284"/>
      <c r="O21" s="284">
        <f>2194958+182027405/386.38+218562808/403.19+223111756.9/387.69+221137804.8/387.64</f>
        <v>4354113.9020888004</v>
      </c>
      <c r="P21" s="284">
        <f t="shared" si="0"/>
        <v>16662617.070000002</v>
      </c>
      <c r="Q21" s="500" t="s">
        <v>31</v>
      </c>
      <c r="R21" s="282" t="s">
        <v>428</v>
      </c>
      <c r="S21" s="10"/>
    </row>
    <row r="22" spans="1:19" s="2" customFormat="1" ht="54.75" customHeight="1" outlineLevel="1" x14ac:dyDescent="0.25">
      <c r="A22" s="506"/>
      <c r="B22" s="499" t="s">
        <v>144</v>
      </c>
      <c r="C22" s="507"/>
      <c r="D22" s="557"/>
      <c r="E22" s="557"/>
      <c r="F22" s="549"/>
      <c r="G22" s="368" t="s">
        <v>431</v>
      </c>
      <c r="H22" s="508"/>
      <c r="I22" s="508"/>
      <c r="J22" s="503" t="s">
        <v>51</v>
      </c>
      <c r="K22" s="284">
        <v>2003005775.2</v>
      </c>
      <c r="L22" s="284">
        <v>2003005775.2</v>
      </c>
      <c r="M22" s="556" t="s">
        <v>399</v>
      </c>
      <c r="N22" s="284"/>
      <c r="O22" s="284">
        <f>238604865.8+56631905+65163658.9+69156989.1+68598623.2</f>
        <v>498156041.99999994</v>
      </c>
      <c r="P22" s="284">
        <f t="shared" si="0"/>
        <v>2003005775.2</v>
      </c>
      <c r="Q22" s="507"/>
      <c r="R22" s="282" t="s">
        <v>428</v>
      </c>
      <c r="S22" s="10"/>
    </row>
    <row r="23" spans="1:19" s="2" customFormat="1" ht="54.75" customHeight="1" outlineLevel="1" x14ac:dyDescent="0.25">
      <c r="A23" s="563"/>
      <c r="B23" s="553" t="s">
        <v>27</v>
      </c>
      <c r="C23" s="500" t="s">
        <v>476</v>
      </c>
      <c r="D23" s="555" t="s">
        <v>48</v>
      </c>
      <c r="E23" s="555" t="s">
        <v>527</v>
      </c>
      <c r="F23" s="554" t="s">
        <v>478</v>
      </c>
      <c r="G23" s="368" t="s">
        <v>430</v>
      </c>
      <c r="H23" s="501" t="s">
        <v>477</v>
      </c>
      <c r="I23" s="554" t="s">
        <v>477</v>
      </c>
      <c r="J23" s="503" t="s">
        <v>26</v>
      </c>
      <c r="K23" s="559">
        <v>40000000</v>
      </c>
      <c r="L23" s="284">
        <v>100000</v>
      </c>
      <c r="M23" s="556" t="s">
        <v>399</v>
      </c>
      <c r="N23" s="284"/>
      <c r="O23" s="284"/>
      <c r="P23" s="284">
        <f t="shared" si="0"/>
        <v>100000</v>
      </c>
      <c r="Q23" s="500" t="s">
        <v>31</v>
      </c>
      <c r="R23" s="282" t="s">
        <v>428</v>
      </c>
      <c r="S23" s="10"/>
    </row>
    <row r="24" spans="1:19" s="2" customFormat="1" ht="54.75" customHeight="1" outlineLevel="1" x14ac:dyDescent="0.25">
      <c r="A24" s="563"/>
      <c r="B24" s="553" t="s">
        <v>27</v>
      </c>
      <c r="C24" s="507"/>
      <c r="D24" s="557"/>
      <c r="E24" s="557"/>
      <c r="F24" s="545"/>
      <c r="G24" s="368" t="s">
        <v>431</v>
      </c>
      <c r="H24" s="508"/>
      <c r="I24" s="545"/>
      <c r="J24" s="503" t="s">
        <v>51</v>
      </c>
      <c r="K24" s="559"/>
      <c r="L24" s="284"/>
      <c r="M24" s="556" t="s">
        <v>399</v>
      </c>
      <c r="N24" s="284"/>
      <c r="O24" s="284"/>
      <c r="P24" s="284">
        <f t="shared" si="0"/>
        <v>0</v>
      </c>
      <c r="Q24" s="507"/>
      <c r="R24" s="282" t="s">
        <v>428</v>
      </c>
      <c r="S24" s="10"/>
    </row>
    <row r="25" spans="1:19" s="2" customFormat="1" ht="57.75" customHeight="1" outlineLevel="1" x14ac:dyDescent="0.25">
      <c r="A25" s="498">
        <v>11</v>
      </c>
      <c r="B25" s="499" t="s">
        <v>27</v>
      </c>
      <c r="C25" s="500" t="s">
        <v>24</v>
      </c>
      <c r="D25" s="555" t="s">
        <v>25</v>
      </c>
      <c r="E25" s="555" t="s">
        <v>528</v>
      </c>
      <c r="F25" s="549" t="s">
        <v>448</v>
      </c>
      <c r="G25" s="368" t="s">
        <v>430</v>
      </c>
      <c r="H25" s="501" t="s">
        <v>28</v>
      </c>
      <c r="I25" s="555" t="s">
        <v>92</v>
      </c>
      <c r="J25" s="503" t="s">
        <v>216</v>
      </c>
      <c r="K25" s="504">
        <v>13988153</v>
      </c>
      <c r="L25" s="284">
        <v>8262785.6411363389</v>
      </c>
      <c r="M25" s="556">
        <v>3.1399999999999997E-2</v>
      </c>
      <c r="N25" s="284">
        <f>1430873.60020494+107795234.9/520.68+109739226/530.07+105995907.4/511.99+105780752.2/510.95</f>
        <v>2258984.1004025689</v>
      </c>
      <c r="O25" s="284">
        <f>1219413.93+55848657.5/520.68+55104222/530.07+51579050.2/511.99+49822785.6/510.95</f>
        <v>1628883.8301780142</v>
      </c>
      <c r="P25" s="284">
        <f t="shared" si="0"/>
        <v>6003801.5407337695</v>
      </c>
      <c r="Q25" s="500" t="s">
        <v>31</v>
      </c>
      <c r="R25" s="369" t="s">
        <v>428</v>
      </c>
      <c r="S25" s="10"/>
    </row>
    <row r="26" spans="1:19" s="2" customFormat="1" ht="59.25" customHeight="1" outlineLevel="1" x14ac:dyDescent="0.25">
      <c r="A26" s="506"/>
      <c r="B26" s="499" t="s">
        <v>27</v>
      </c>
      <c r="C26" s="560"/>
      <c r="D26" s="561"/>
      <c r="E26" s="561"/>
      <c r="F26" s="549"/>
      <c r="G26" s="368" t="s">
        <v>431</v>
      </c>
      <c r="H26" s="508"/>
      <c r="I26" s="557"/>
      <c r="J26" s="368" t="s">
        <v>51</v>
      </c>
      <c r="K26" s="510">
        <v>1194787815</v>
      </c>
      <c r="L26" s="284">
        <v>1194787815</v>
      </c>
      <c r="M26" s="556">
        <v>3.1399999999999997E-2</v>
      </c>
      <c r="N26" s="284">
        <f>209123295.3+29868621.8+29868621.8+29868621.8+29868621.8</f>
        <v>328597782.50000006</v>
      </c>
      <c r="O26" s="284">
        <f>177460224.6+15474933+14998180+14534453+14068120.9</f>
        <v>236535911.5</v>
      </c>
      <c r="P26" s="284">
        <f t="shared" si="0"/>
        <v>866190032.5</v>
      </c>
      <c r="Q26" s="507"/>
      <c r="R26" s="369" t="s">
        <v>428</v>
      </c>
      <c r="S26" s="10"/>
    </row>
    <row r="27" spans="1:19" s="2" customFormat="1" ht="51.75" customHeight="1" outlineLevel="1" x14ac:dyDescent="0.25">
      <c r="A27" s="498">
        <v>12</v>
      </c>
      <c r="B27" s="499" t="s">
        <v>16</v>
      </c>
      <c r="C27" s="560"/>
      <c r="D27" s="561"/>
      <c r="E27" s="561"/>
      <c r="F27" s="549"/>
      <c r="G27" s="368" t="s">
        <v>430</v>
      </c>
      <c r="H27" s="501" t="s">
        <v>29</v>
      </c>
      <c r="I27" s="555" t="s">
        <v>92</v>
      </c>
      <c r="J27" s="503" t="s">
        <v>216</v>
      </c>
      <c r="K27" s="504">
        <v>10098535</v>
      </c>
      <c r="L27" s="284">
        <v>10121386.37101347</v>
      </c>
      <c r="M27" s="556">
        <v>3.1399999999999997E-2</v>
      </c>
      <c r="N27" s="284">
        <f>1520990.1+136750579/520.29+138244588/530.59+133398381/511.99+133127359/510.95</f>
        <v>2565471.7050314122</v>
      </c>
      <c r="O27" s="284">
        <f>832426.027338+83294453/525+70252782/520.29+69454072/530.59+64924992/511.99+62703018/510.95</f>
        <v>1506535.6319686701</v>
      </c>
      <c r="P27" s="284">
        <f t="shared" si="0"/>
        <v>7555914.6659820583</v>
      </c>
      <c r="Q27" s="500" t="s">
        <v>31</v>
      </c>
      <c r="R27" s="369" t="s">
        <v>428</v>
      </c>
      <c r="S27" s="10"/>
    </row>
    <row r="28" spans="1:19" s="2" customFormat="1" ht="47.25" customHeight="1" outlineLevel="1" x14ac:dyDescent="0.25">
      <c r="A28" s="506"/>
      <c r="B28" s="499" t="s">
        <v>16</v>
      </c>
      <c r="C28" s="507"/>
      <c r="D28" s="557"/>
      <c r="E28" s="557"/>
      <c r="F28" s="549"/>
      <c r="G28" s="368" t="s">
        <v>431</v>
      </c>
      <c r="H28" s="508"/>
      <c r="I28" s="557"/>
      <c r="J28" s="368" t="s">
        <v>51</v>
      </c>
      <c r="K28" s="510">
        <v>794162455.89999998</v>
      </c>
      <c r="L28" s="284">
        <v>794162455.89999998</v>
      </c>
      <c r="M28" s="556">
        <v>3.1399999999999997E-2</v>
      </c>
      <c r="N28" s="284">
        <f>123592049.7+20623615+20310837+20310837+20310838</f>
        <v>205148176.69999999</v>
      </c>
      <c r="O28" s="284">
        <f>78534680.8+10527955+10204165+9885285+9566405</f>
        <v>118718490.8</v>
      </c>
      <c r="P28" s="284">
        <f t="shared" si="0"/>
        <v>589014279.20000005</v>
      </c>
      <c r="Q28" s="507"/>
      <c r="R28" s="369" t="s">
        <v>428</v>
      </c>
      <c r="S28" s="10"/>
    </row>
    <row r="29" spans="1:19" s="2" customFormat="1" ht="48" customHeight="1" outlineLevel="1" x14ac:dyDescent="0.25">
      <c r="A29" s="225">
        <v>13</v>
      </c>
      <c r="B29" s="495" t="s">
        <v>27</v>
      </c>
      <c r="C29" s="500" t="s">
        <v>42</v>
      </c>
      <c r="D29" s="555" t="s">
        <v>43</v>
      </c>
      <c r="E29" s="555" t="s">
        <v>529</v>
      </c>
      <c r="F29" s="554" t="s">
        <v>449</v>
      </c>
      <c r="G29" s="368" t="s">
        <v>430</v>
      </c>
      <c r="H29" s="552" t="s">
        <v>44</v>
      </c>
      <c r="I29" s="368" t="s">
        <v>86</v>
      </c>
      <c r="J29" s="503" t="s">
        <v>26</v>
      </c>
      <c r="K29" s="284">
        <v>19600000</v>
      </c>
      <c r="L29" s="284">
        <v>19419334.870000001</v>
      </c>
      <c r="M29" s="565">
        <v>5.0000000000000001E-3</v>
      </c>
      <c r="N29" s="284">
        <f>9716960.66852489+189584407.5/488.5+172026989.7/443.26+153375144/395.2+150045288.9/386.62+156421689.8/403.05+150324717.3/387.34+155746404.5/401.31</f>
        <v>12433625.668773536</v>
      </c>
      <c r="O29" s="284">
        <f>1129921.93024286+16077756.3/488.5+14096288.6/443.26+12233850.7/395.2+11546870.2/386.62+11574265.9/403.05+10860006.5/387.34+10861254.5/401.31</f>
        <v>1339276.7301463305</v>
      </c>
      <c r="P29" s="284">
        <f t="shared" si="0"/>
        <v>6985709.2012264654</v>
      </c>
      <c r="Q29" s="291" t="s">
        <v>31</v>
      </c>
      <c r="R29" s="369" t="s">
        <v>428</v>
      </c>
      <c r="S29" s="10"/>
    </row>
    <row r="30" spans="1:19" s="2" customFormat="1" ht="60" customHeight="1" outlineLevel="1" x14ac:dyDescent="0.25">
      <c r="A30" s="225">
        <v>14</v>
      </c>
      <c r="B30" s="495" t="s">
        <v>16</v>
      </c>
      <c r="C30" s="507"/>
      <c r="D30" s="557"/>
      <c r="E30" s="557"/>
      <c r="F30" s="545"/>
      <c r="G30" s="368" t="s">
        <v>430</v>
      </c>
      <c r="H30" s="552" t="s">
        <v>45</v>
      </c>
      <c r="I30" s="368" t="s">
        <v>87</v>
      </c>
      <c r="J30" s="503" t="s">
        <v>26</v>
      </c>
      <c r="K30" s="284">
        <v>297276.53999999998</v>
      </c>
      <c r="L30" s="284">
        <v>297276.53999999998</v>
      </c>
      <c r="M30" s="290" t="s">
        <v>125</v>
      </c>
      <c r="N30" s="284">
        <f>257638.543537781+4361667/440.15+3916234/395.2+3837157/387.22+3994520/403.1</f>
        <v>297276.54625526333</v>
      </c>
      <c r="O30" s="284">
        <f>229541.53251276+1912186/489.99+1556591/440.15+1259898/395.2+1094284/387.22+991707/403.1</f>
        <v>245454.73643449965</v>
      </c>
      <c r="P30" s="284">
        <f t="shared" si="0"/>
        <v>-6.255263346247375E-3</v>
      </c>
      <c r="Q30" s="291" t="s">
        <v>31</v>
      </c>
      <c r="R30" s="369" t="s">
        <v>428</v>
      </c>
      <c r="S30" s="10"/>
    </row>
    <row r="31" spans="1:19" s="2" customFormat="1" ht="51" customHeight="1" outlineLevel="1" x14ac:dyDescent="0.25">
      <c r="A31" s="225">
        <v>15</v>
      </c>
      <c r="B31" s="495" t="s">
        <v>16</v>
      </c>
      <c r="C31" s="566" t="s">
        <v>17</v>
      </c>
      <c r="D31" s="555" t="s">
        <v>65</v>
      </c>
      <c r="E31" s="555" t="s">
        <v>530</v>
      </c>
      <c r="F31" s="554" t="s">
        <v>453</v>
      </c>
      <c r="G31" s="368" t="s">
        <v>430</v>
      </c>
      <c r="H31" s="552" t="s">
        <v>21</v>
      </c>
      <c r="I31" s="368" t="s">
        <v>93</v>
      </c>
      <c r="J31" s="368" t="s">
        <v>18</v>
      </c>
      <c r="K31" s="284">
        <v>1571940173.3299999</v>
      </c>
      <c r="L31" s="284">
        <v>1598519063</v>
      </c>
      <c r="M31" s="565">
        <v>1.7999999999999999E-2</v>
      </c>
      <c r="N31" s="284">
        <f>1030178646.5+123394332/3.026+109815247/2.693+110426917/2.708+107613234/2.639+106349114/2.608</f>
        <v>1234068819.1163616</v>
      </c>
      <c r="O31" s="284">
        <f>226837831.925937+13873556/3.026+11211247/2.693+10505503/2.708+9205948/2.639+8278004/2.608</f>
        <v>246127659.34121844</v>
      </c>
      <c r="P31" s="284">
        <f t="shared" si="0"/>
        <v>364450243.88363838</v>
      </c>
      <c r="Q31" s="291" t="s">
        <v>31</v>
      </c>
      <c r="R31" s="369" t="s">
        <v>428</v>
      </c>
      <c r="S31" s="10"/>
    </row>
    <row r="32" spans="1:19" s="2" customFormat="1" ht="41.25" customHeight="1" outlineLevel="1" x14ac:dyDescent="0.25">
      <c r="A32" s="225">
        <v>16</v>
      </c>
      <c r="B32" s="282" t="s">
        <v>2</v>
      </c>
      <c r="C32" s="567"/>
      <c r="D32" s="557"/>
      <c r="E32" s="557"/>
      <c r="F32" s="545"/>
      <c r="G32" s="368" t="s">
        <v>430</v>
      </c>
      <c r="H32" s="552" t="s">
        <v>23</v>
      </c>
      <c r="I32" s="368" t="s">
        <v>93</v>
      </c>
      <c r="J32" s="368" t="s">
        <v>18</v>
      </c>
      <c r="K32" s="284">
        <v>3796371795.6700001</v>
      </c>
      <c r="L32" s="284">
        <v>3861444249</v>
      </c>
      <c r="M32" s="565">
        <v>1.7999999999999999E-2</v>
      </c>
      <c r="N32" s="284">
        <f>2513837447.56+291897058.6/3.026+259774877.3/2.693+261800600/2.714+254469412/2.638+251575521.7/2.608</f>
        <v>2996152481.4054999</v>
      </c>
      <c r="O32" s="284">
        <f>553224853.256799+32762341/3.026+26475306.9/2.693+24863667/2.714+21767387/2.638+19619296.3/2.608</f>
        <v>598818429.94730222</v>
      </c>
      <c r="P32" s="284">
        <f t="shared" si="0"/>
        <v>865291767.59450006</v>
      </c>
      <c r="Q32" s="291" t="s">
        <v>31</v>
      </c>
      <c r="R32" s="369" t="s">
        <v>428</v>
      </c>
      <c r="S32" s="10"/>
    </row>
    <row r="33" spans="1:20" s="2" customFormat="1" ht="69" customHeight="1" outlineLevel="1" x14ac:dyDescent="0.25">
      <c r="A33" s="498">
        <v>17</v>
      </c>
      <c r="B33" s="566" t="s">
        <v>88</v>
      </c>
      <c r="C33" s="500" t="s">
        <v>456</v>
      </c>
      <c r="D33" s="555" t="s">
        <v>43</v>
      </c>
      <c r="E33" s="555" t="s">
        <v>531</v>
      </c>
      <c r="F33" s="554" t="s">
        <v>455</v>
      </c>
      <c r="G33" s="368" t="s">
        <v>430</v>
      </c>
      <c r="H33" s="501" t="s">
        <v>70</v>
      </c>
      <c r="I33" s="555" t="s">
        <v>89</v>
      </c>
      <c r="J33" s="503" t="s">
        <v>26</v>
      </c>
      <c r="K33" s="284">
        <v>4846628.13</v>
      </c>
      <c r="L33" s="284">
        <v>4737831.22</v>
      </c>
      <c r="M33" s="290">
        <v>7.4999999999999997E-3</v>
      </c>
      <c r="N33" s="284">
        <f>616176.07+18729201/386.44+19508050/402.51+18791723/387.73+18767489/387.23</f>
        <v>810040.07239122433</v>
      </c>
      <c r="O33" s="284">
        <f>353441.51+5923430/386.44+6198654/402.51+5835491.6/387.73+5820648/387.23</f>
        <v>414251.61169354402</v>
      </c>
      <c r="P33" s="284">
        <f t="shared" si="0"/>
        <v>3927791.1476087756</v>
      </c>
      <c r="Q33" s="291" t="s">
        <v>111</v>
      </c>
      <c r="R33" s="369" t="s">
        <v>428</v>
      </c>
      <c r="S33" s="10"/>
    </row>
    <row r="34" spans="1:20" s="2" customFormat="1" ht="69" customHeight="1" outlineLevel="1" x14ac:dyDescent="0.25">
      <c r="A34" s="506"/>
      <c r="B34" s="567"/>
      <c r="C34" s="507"/>
      <c r="D34" s="557"/>
      <c r="E34" s="557"/>
      <c r="F34" s="545"/>
      <c r="G34" s="368" t="s">
        <v>431</v>
      </c>
      <c r="H34" s="508"/>
      <c r="I34" s="557"/>
      <c r="J34" s="368" t="s">
        <v>51</v>
      </c>
      <c r="K34" s="284">
        <v>1740568345.9000001</v>
      </c>
      <c r="L34" s="284">
        <v>1740568345.9000001</v>
      </c>
      <c r="M34" s="290">
        <v>7.4999999999999997E-3</v>
      </c>
      <c r="N34" s="284">
        <f>247100359+17402579+17402579+17402579+17402579</f>
        <v>316710675</v>
      </c>
      <c r="O34" s="284">
        <f>128165336.87+5554115.8+5580740.4+5454641.8+5448433.2</f>
        <v>150203268.06999999</v>
      </c>
      <c r="P34" s="284">
        <f t="shared" si="0"/>
        <v>1423857670.9000001</v>
      </c>
      <c r="Q34" s="291" t="s">
        <v>111</v>
      </c>
      <c r="R34" s="369" t="s">
        <v>428</v>
      </c>
      <c r="S34" s="10"/>
    </row>
    <row r="35" spans="1:20" ht="87" customHeight="1" outlineLevel="1" x14ac:dyDescent="0.25">
      <c r="A35" s="225">
        <v>18</v>
      </c>
      <c r="B35" s="495" t="s">
        <v>1</v>
      </c>
      <c r="C35" s="282" t="s">
        <v>59</v>
      </c>
      <c r="D35" s="368" t="s">
        <v>61</v>
      </c>
      <c r="E35" s="552" t="s">
        <v>532</v>
      </c>
      <c r="F35" s="552" t="s">
        <v>533</v>
      </c>
      <c r="G35" s="368" t="s">
        <v>430</v>
      </c>
      <c r="H35" s="552" t="s">
        <v>58</v>
      </c>
      <c r="I35" s="552" t="s">
        <v>85</v>
      </c>
      <c r="J35" s="503" t="s">
        <v>30</v>
      </c>
      <c r="K35" s="568">
        <v>17895215.550000001</v>
      </c>
      <c r="L35" s="284">
        <v>17895215.550000001</v>
      </c>
      <c r="M35" s="290">
        <v>7.4999999999999997E-3</v>
      </c>
      <c r="N35" s="284">
        <v>9004359.9040168226</v>
      </c>
      <c r="O35" s="284">
        <f>2568161.28+12471869/415.04+3320320/414.34+16171473.8/438.74+15002335.6/420.29+14025433/406.4</f>
        <v>2713290.0956009617</v>
      </c>
      <c r="P35" s="284">
        <f t="shared" si="0"/>
        <v>8890855.6459831782</v>
      </c>
      <c r="Q35" s="291" t="s">
        <v>31</v>
      </c>
      <c r="R35" s="369" t="s">
        <v>428</v>
      </c>
      <c r="S35" s="10"/>
      <c r="T35" s="2"/>
    </row>
    <row r="36" spans="1:20" ht="55.5" customHeight="1" outlineLevel="1" x14ac:dyDescent="0.25">
      <c r="A36" s="498">
        <v>19</v>
      </c>
      <c r="B36" s="499" t="s">
        <v>210</v>
      </c>
      <c r="C36" s="500" t="s">
        <v>498</v>
      </c>
      <c r="D36" s="500" t="s">
        <v>147</v>
      </c>
      <c r="E36" s="500" t="s">
        <v>534</v>
      </c>
      <c r="F36" s="500" t="s">
        <v>450</v>
      </c>
      <c r="G36" s="282" t="s">
        <v>430</v>
      </c>
      <c r="H36" s="500" t="s">
        <v>211</v>
      </c>
      <c r="I36" s="282" t="s">
        <v>235</v>
      </c>
      <c r="J36" s="503" t="s">
        <v>30</v>
      </c>
      <c r="K36" s="569">
        <v>22000000</v>
      </c>
      <c r="L36" s="284">
        <v>21247150.510000002</v>
      </c>
      <c r="M36" s="570" t="s">
        <v>138</v>
      </c>
      <c r="N36" s="284">
        <f>1047000+1047000+1047000+1047000+1047000+1047000+1047000+1047000+1048000</f>
        <v>9424000</v>
      </c>
      <c r="O36" s="284">
        <f>2375876.3+237670.2+221556.87</f>
        <v>2835103.37</v>
      </c>
      <c r="P36" s="284">
        <f>K36-N36</f>
        <v>12576000</v>
      </c>
      <c r="Q36" s="500" t="s">
        <v>403</v>
      </c>
      <c r="R36" s="369" t="s">
        <v>428</v>
      </c>
      <c r="S36" s="10"/>
      <c r="T36" s="2"/>
    </row>
    <row r="37" spans="1:20" ht="68.25" customHeight="1" outlineLevel="1" x14ac:dyDescent="0.25">
      <c r="A37" s="542"/>
      <c r="B37" s="499" t="s">
        <v>210</v>
      </c>
      <c r="C37" s="560"/>
      <c r="D37" s="560"/>
      <c r="E37" s="560"/>
      <c r="F37" s="560"/>
      <c r="G37" s="282" t="s">
        <v>430</v>
      </c>
      <c r="H37" s="560"/>
      <c r="I37" s="282" t="s">
        <v>237</v>
      </c>
      <c r="J37" s="503" t="s">
        <v>30</v>
      </c>
      <c r="K37" s="569">
        <v>14500000</v>
      </c>
      <c r="L37" s="284">
        <v>14491281.059999999</v>
      </c>
      <c r="M37" s="570" t="s">
        <v>97</v>
      </c>
      <c r="N37" s="284">
        <f>241000+241000+241000+241000+241000+241000+241000+241000+241000</f>
        <v>2169000</v>
      </c>
      <c r="O37" s="284">
        <f>628643.7+48048.75+47190.19</f>
        <v>723882.6399999999</v>
      </c>
      <c r="P37" s="284">
        <f>K37-N37</f>
        <v>12331000</v>
      </c>
      <c r="Q37" s="560"/>
      <c r="R37" s="369" t="s">
        <v>428</v>
      </c>
      <c r="S37" s="10"/>
      <c r="T37" s="2"/>
    </row>
    <row r="38" spans="1:20" ht="62.25" customHeight="1" outlineLevel="1" x14ac:dyDescent="0.25">
      <c r="A38" s="506"/>
      <c r="B38" s="499" t="s">
        <v>210</v>
      </c>
      <c r="C38" s="507"/>
      <c r="D38" s="507"/>
      <c r="E38" s="507"/>
      <c r="F38" s="507"/>
      <c r="G38" s="282" t="s">
        <v>430</v>
      </c>
      <c r="H38" s="507"/>
      <c r="I38" s="282" t="s">
        <v>236</v>
      </c>
      <c r="J38" s="503" t="s">
        <v>30</v>
      </c>
      <c r="K38" s="569">
        <v>14500000</v>
      </c>
      <c r="L38" s="284">
        <v>14500000.000000002</v>
      </c>
      <c r="M38" s="570" t="s">
        <v>139</v>
      </c>
      <c r="N38" s="284">
        <f>2519999.6+630000+630000+630000+630000+630000</f>
        <v>5669999.5999999996</v>
      </c>
      <c r="O38" s="284">
        <f>2336020+207340.05+195524.74</f>
        <v>2738884.79</v>
      </c>
      <c r="P38" s="284">
        <f>K38-N38</f>
        <v>8830000.4000000004</v>
      </c>
      <c r="Q38" s="507"/>
      <c r="R38" s="369" t="s">
        <v>428</v>
      </c>
      <c r="S38" s="10"/>
      <c r="T38" s="2"/>
    </row>
    <row r="39" spans="1:20" ht="94.5" customHeight="1" outlineLevel="1" x14ac:dyDescent="0.25">
      <c r="A39" s="225">
        <v>20</v>
      </c>
      <c r="B39" s="282" t="s">
        <v>71</v>
      </c>
      <c r="C39" s="495" t="s">
        <v>72</v>
      </c>
      <c r="D39" s="368" t="s">
        <v>65</v>
      </c>
      <c r="E39" s="368" t="s">
        <v>535</v>
      </c>
      <c r="F39" s="368" t="s">
        <v>452</v>
      </c>
      <c r="G39" s="368" t="s">
        <v>430</v>
      </c>
      <c r="H39" s="552" t="s">
        <v>73</v>
      </c>
      <c r="I39" s="368" t="s">
        <v>94</v>
      </c>
      <c r="J39" s="368" t="s">
        <v>18</v>
      </c>
      <c r="K39" s="571">
        <v>26409000000</v>
      </c>
      <c r="L39" s="284">
        <v>26399286331</v>
      </c>
      <c r="M39" s="290">
        <v>7.4999999999999997E-3</v>
      </c>
      <c r="N39" s="284">
        <f>7357230331.16835+1131704010/2.615+1153775484/2.666+(500000000+500000000+175414184)/2.716+(131098126.4+500000000+500000000)/2.6131</f>
        <v>9088409139.7099285</v>
      </c>
      <c r="O39" s="284">
        <f>2607354309.06995+188428717.2/2.615+185536580.8/2.666+186649331.7/2.716+172476969.8/2.6136</f>
        <v>2883719042.4936247</v>
      </c>
      <c r="P39" s="286">
        <f t="shared" ref="P39:P50" si="1">L39-N39</f>
        <v>17310877191.29007</v>
      </c>
      <c r="Q39" s="291" t="s">
        <v>126</v>
      </c>
      <c r="R39" s="369" t="s">
        <v>428</v>
      </c>
      <c r="S39" s="10"/>
      <c r="T39" s="2"/>
    </row>
    <row r="40" spans="1:20" ht="86.25" customHeight="1" outlineLevel="1" x14ac:dyDescent="0.25">
      <c r="A40" s="225">
        <v>21</v>
      </c>
      <c r="B40" s="495" t="s">
        <v>27</v>
      </c>
      <c r="C40" s="282" t="s">
        <v>130</v>
      </c>
      <c r="D40" s="282" t="s">
        <v>106</v>
      </c>
      <c r="E40" s="282" t="s">
        <v>454</v>
      </c>
      <c r="F40" s="282" t="s">
        <v>536</v>
      </c>
      <c r="G40" s="282" t="s">
        <v>430</v>
      </c>
      <c r="H40" s="552" t="s">
        <v>32</v>
      </c>
      <c r="I40" s="368" t="s">
        <v>95</v>
      </c>
      <c r="J40" s="503" t="s">
        <v>26</v>
      </c>
      <c r="K40" s="284">
        <v>8988290</v>
      </c>
      <c r="L40" s="284">
        <v>8988290</v>
      </c>
      <c r="M40" s="565">
        <v>5.0000000000000001E-3</v>
      </c>
      <c r="N40" s="284">
        <f>4199999.97+600000+600000+289644000/482.74+290820000/484.7+286458000/477.43+600000+600000+231939215.4/394.26</f>
        <v>8988289.9699999988</v>
      </c>
      <c r="O40" s="284">
        <f>838542.942447016+522591.6/394.26</f>
        <v>839868.44237092405</v>
      </c>
      <c r="P40" s="286">
        <f t="shared" si="1"/>
        <v>3.0000001192092896E-2</v>
      </c>
      <c r="Q40" s="291" t="s">
        <v>111</v>
      </c>
      <c r="R40" s="369" t="s">
        <v>428</v>
      </c>
      <c r="S40" s="10"/>
      <c r="T40" s="2"/>
    </row>
    <row r="41" spans="1:20" ht="86.25" customHeight="1" outlineLevel="1" x14ac:dyDescent="0.25">
      <c r="A41" s="225"/>
      <c r="B41" s="566" t="s">
        <v>27</v>
      </c>
      <c r="C41" s="500" t="s">
        <v>502</v>
      </c>
      <c r="D41" s="555" t="s">
        <v>414</v>
      </c>
      <c r="E41" s="500" t="s">
        <v>499</v>
      </c>
      <c r="F41" s="572" t="s">
        <v>470</v>
      </c>
      <c r="G41" s="553" t="s">
        <v>405</v>
      </c>
      <c r="H41" s="552"/>
      <c r="I41" s="368" t="s">
        <v>471</v>
      </c>
      <c r="J41" s="283" t="s">
        <v>51</v>
      </c>
      <c r="K41" s="504">
        <v>1035000000</v>
      </c>
      <c r="L41" s="510">
        <f>1035000000-80500000</f>
        <v>954500000</v>
      </c>
      <c r="M41" s="573">
        <v>9.8613000000000006E-2</v>
      </c>
      <c r="N41" s="284"/>
      <c r="O41" s="284"/>
      <c r="P41" s="286">
        <f t="shared" si="1"/>
        <v>954500000</v>
      </c>
      <c r="Q41" s="291" t="s">
        <v>111</v>
      </c>
      <c r="R41" s="369" t="s">
        <v>428</v>
      </c>
      <c r="S41" s="10"/>
      <c r="T41" s="2"/>
    </row>
    <row r="42" spans="1:20" ht="86.25" customHeight="1" outlineLevel="1" x14ac:dyDescent="0.25">
      <c r="A42" s="225"/>
      <c r="B42" s="567"/>
      <c r="C42" s="507"/>
      <c r="D42" s="557"/>
      <c r="E42" s="507"/>
      <c r="F42" s="574"/>
      <c r="G42" s="553" t="s">
        <v>405</v>
      </c>
      <c r="H42" s="552"/>
      <c r="I42" s="368"/>
      <c r="J42" s="283" t="s">
        <v>51</v>
      </c>
      <c r="K42" s="510">
        <v>1035000000</v>
      </c>
      <c r="L42" s="510"/>
      <c r="M42" s="565"/>
      <c r="N42" s="284"/>
      <c r="O42" s="284"/>
      <c r="P42" s="286">
        <f t="shared" si="1"/>
        <v>0</v>
      </c>
      <c r="Q42" s="291" t="s">
        <v>111</v>
      </c>
      <c r="R42" s="369" t="s">
        <v>428</v>
      </c>
      <c r="S42" s="10"/>
      <c r="T42" s="2"/>
    </row>
    <row r="43" spans="1:20" ht="100.5" customHeight="1" outlineLevel="1" x14ac:dyDescent="0.25">
      <c r="A43" s="225">
        <v>22</v>
      </c>
      <c r="B43" s="495" t="s">
        <v>0</v>
      </c>
      <c r="C43" s="282" t="s">
        <v>130</v>
      </c>
      <c r="D43" s="282" t="s">
        <v>9</v>
      </c>
      <c r="E43" s="282" t="s">
        <v>500</v>
      </c>
      <c r="F43" s="282" t="s">
        <v>457</v>
      </c>
      <c r="G43" s="282" t="s">
        <v>430</v>
      </c>
      <c r="H43" s="496" t="s">
        <v>12</v>
      </c>
      <c r="I43" s="284" t="s">
        <v>96</v>
      </c>
      <c r="J43" s="497" t="s">
        <v>51</v>
      </c>
      <c r="K43" s="284">
        <v>1757100000</v>
      </c>
      <c r="L43" s="284">
        <v>1757100000</v>
      </c>
      <c r="M43" s="290">
        <v>7.4999999999999997E-3</v>
      </c>
      <c r="N43" s="284">
        <f>439275000+62753571.5+62753571.5+62753571.3+62753571.4+62753571.4+62753571.4+62753571.5+62753571.5+62753571.5+62753571.3</f>
        <v>1066810714.2999998</v>
      </c>
      <c r="O43" s="284">
        <f>303383430.5+3313904.4+3032802.7+3076644.3+2814884.5+2839384.2</f>
        <v>318461050.59999996</v>
      </c>
      <c r="P43" s="286">
        <f t="shared" si="1"/>
        <v>690289285.70000017</v>
      </c>
      <c r="Q43" s="291" t="s">
        <v>111</v>
      </c>
      <c r="R43" s="369" t="s">
        <v>428</v>
      </c>
      <c r="S43" s="10"/>
      <c r="T43" s="2"/>
    </row>
    <row r="44" spans="1:20" ht="82.5" customHeight="1" outlineLevel="1" x14ac:dyDescent="0.25">
      <c r="A44" s="575">
        <v>23</v>
      </c>
      <c r="B44" s="495" t="s">
        <v>0</v>
      </c>
      <c r="C44" s="500" t="s">
        <v>504</v>
      </c>
      <c r="D44" s="282" t="s">
        <v>414</v>
      </c>
      <c r="E44" s="282" t="s">
        <v>243</v>
      </c>
      <c r="F44" s="496" t="s">
        <v>512</v>
      </c>
      <c r="G44" s="282" t="s">
        <v>405</v>
      </c>
      <c r="H44" s="496"/>
      <c r="I44" s="284" t="s">
        <v>336</v>
      </c>
      <c r="J44" s="497" t="s">
        <v>51</v>
      </c>
      <c r="K44" s="284">
        <v>18700000000</v>
      </c>
      <c r="L44" s="284">
        <v>18700000000</v>
      </c>
      <c r="M44" s="556">
        <v>7.4999999999999997E-2</v>
      </c>
      <c r="N44" s="284">
        <f>890476190.5+890476190.5+890476190.5+890476190.5+890476190.5+890476190.5</f>
        <v>5342857143</v>
      </c>
      <c r="O44" s="284">
        <f>1333335616.4+703171232.9+699328767.1+670052837.5+632909002+602718199.6+569233855.2+535749511</f>
        <v>5746499021.6999998</v>
      </c>
      <c r="P44" s="286">
        <f>L44-N44</f>
        <v>13357142857</v>
      </c>
      <c r="Q44" s="291" t="s">
        <v>111</v>
      </c>
      <c r="R44" s="369" t="s">
        <v>428</v>
      </c>
      <c r="S44" s="10"/>
      <c r="T44" s="2"/>
    </row>
    <row r="45" spans="1:20" ht="63.75" customHeight="1" outlineLevel="1" x14ac:dyDescent="0.25">
      <c r="A45" s="575">
        <v>24</v>
      </c>
      <c r="B45" s="495" t="s">
        <v>0</v>
      </c>
      <c r="C45" s="560"/>
      <c r="D45" s="282" t="s">
        <v>414</v>
      </c>
      <c r="E45" s="553" t="s">
        <v>354</v>
      </c>
      <c r="F45" s="496" t="s">
        <v>440</v>
      </c>
      <c r="G45" s="282" t="s">
        <v>405</v>
      </c>
      <c r="H45" s="496"/>
      <c r="I45" s="284" t="s">
        <v>355</v>
      </c>
      <c r="J45" s="497" t="s">
        <v>51</v>
      </c>
      <c r="K45" s="284">
        <v>25000000000</v>
      </c>
      <c r="L45" s="284">
        <v>25000000000</v>
      </c>
      <c r="M45" s="556">
        <v>0.09</v>
      </c>
      <c r="N45" s="284">
        <f>1190476190.4+1190476190.5+1190476190.5+1190476190.5</f>
        <v>4761904761.8999996</v>
      </c>
      <c r="O45" s="284">
        <f>1171232876.7+1121917808.3+1128082191.8+1121917808.2+1074363992.2+1020645792.6+966927593</f>
        <v>7605088062.8000002</v>
      </c>
      <c r="P45" s="286">
        <f t="shared" si="1"/>
        <v>20238095238.099998</v>
      </c>
      <c r="Q45" s="291" t="s">
        <v>111</v>
      </c>
      <c r="R45" s="369" t="s">
        <v>428</v>
      </c>
      <c r="S45" s="10"/>
      <c r="T45" s="2"/>
    </row>
    <row r="46" spans="1:20" ht="82.5" customHeight="1" outlineLevel="1" x14ac:dyDescent="0.25">
      <c r="A46" s="575"/>
      <c r="B46" s="495" t="s">
        <v>0</v>
      </c>
      <c r="C46" s="507"/>
      <c r="D46" s="282" t="s">
        <v>414</v>
      </c>
      <c r="E46" s="282" t="s">
        <v>473</v>
      </c>
      <c r="F46" s="496" t="s">
        <v>503</v>
      </c>
      <c r="G46" s="282" t="s">
        <v>405</v>
      </c>
      <c r="H46" s="496"/>
      <c r="I46" s="284" t="s">
        <v>469</v>
      </c>
      <c r="J46" s="497" t="s">
        <v>51</v>
      </c>
      <c r="K46" s="284">
        <v>5965000000</v>
      </c>
      <c r="L46" s="284">
        <v>5965000000</v>
      </c>
      <c r="M46" s="576">
        <v>9.8608000000000001E-2</v>
      </c>
      <c r="N46" s="284"/>
      <c r="O46" s="284">
        <v>24172468</v>
      </c>
      <c r="P46" s="286">
        <f>L46-N46</f>
        <v>5965000000</v>
      </c>
      <c r="Q46" s="291" t="s">
        <v>111</v>
      </c>
      <c r="R46" s="369" t="s">
        <v>428</v>
      </c>
      <c r="S46" s="10"/>
      <c r="T46" s="2"/>
    </row>
    <row r="47" spans="1:20" ht="78.75" customHeight="1" outlineLevel="1" x14ac:dyDescent="0.25">
      <c r="A47" s="498">
        <v>25</v>
      </c>
      <c r="B47" s="499" t="s">
        <v>0</v>
      </c>
      <c r="C47" s="500" t="s">
        <v>140</v>
      </c>
      <c r="D47" s="368" t="s">
        <v>416</v>
      </c>
      <c r="E47" s="555" t="s">
        <v>468</v>
      </c>
      <c r="F47" s="500" t="s">
        <v>458</v>
      </c>
      <c r="G47" s="368" t="s">
        <v>430</v>
      </c>
      <c r="H47" s="501" t="s">
        <v>141</v>
      </c>
      <c r="I47" s="502" t="s">
        <v>136</v>
      </c>
      <c r="J47" s="503" t="s">
        <v>26</v>
      </c>
      <c r="K47" s="504">
        <v>270000000</v>
      </c>
      <c r="L47" s="284">
        <v>170663629.05000004</v>
      </c>
      <c r="M47" s="505">
        <v>0.03</v>
      </c>
      <c r="N47" s="284">
        <f>51199088.7002228+3370009369.8/394.93+3295429324.9/386.19+3461143748.2/405.61+3310959715/388.01+(1000000000+1424393078.3+962000000)/396.85</f>
        <v>93864996.000313431</v>
      </c>
      <c r="O47" s="284">
        <f>20309911.275649+723428666.7/394.93+646453366.1/386.19+636850451.3/405.61+552378447/388.01+519246953.2/396.85</f>
        <v>28117772.275609713</v>
      </c>
      <c r="P47" s="286">
        <f t="shared" si="1"/>
        <v>76798633.049686611</v>
      </c>
      <c r="Q47" s="500" t="s">
        <v>99</v>
      </c>
      <c r="R47" s="282" t="s">
        <v>428</v>
      </c>
      <c r="S47" s="10"/>
      <c r="T47" s="2"/>
    </row>
    <row r="48" spans="1:20" ht="81.75" customHeight="1" outlineLevel="1" x14ac:dyDescent="0.25">
      <c r="A48" s="506"/>
      <c r="B48" s="499" t="s">
        <v>0</v>
      </c>
      <c r="C48" s="507"/>
      <c r="D48" s="282" t="s">
        <v>414</v>
      </c>
      <c r="E48" s="557"/>
      <c r="F48" s="507"/>
      <c r="G48" s="282" t="s">
        <v>431</v>
      </c>
      <c r="H48" s="508"/>
      <c r="I48" s="509"/>
      <c r="J48" s="497" t="s">
        <v>51</v>
      </c>
      <c r="K48" s="510">
        <v>9618030955</v>
      </c>
      <c r="L48" s="284">
        <f>9509488626+108542329</f>
        <v>9618030955</v>
      </c>
      <c r="M48" s="505">
        <v>0.03</v>
      </c>
      <c r="N48" s="284">
        <f>2858334735.47632+482835444.3+482835444.2+482835444.3+482835444.2+482835444.3</f>
        <v>5272511956.7763195</v>
      </c>
      <c r="O48" s="284">
        <f>1045375895.11175+103648675.3+94716219.7+88841721.7+80553046.6+74034768.1</f>
        <v>1487170326.51175</v>
      </c>
      <c r="P48" s="286">
        <f t="shared" si="1"/>
        <v>4345518998.2236805</v>
      </c>
      <c r="Q48" s="507"/>
      <c r="R48" s="282" t="s">
        <v>428</v>
      </c>
      <c r="S48" s="10"/>
      <c r="T48" s="2"/>
    </row>
    <row r="49" spans="1:20" ht="79.5" customHeight="1" outlineLevel="1" x14ac:dyDescent="0.25">
      <c r="A49" s="225">
        <v>26</v>
      </c>
      <c r="B49" s="495" t="s">
        <v>0</v>
      </c>
      <c r="C49" s="282" t="s">
        <v>180</v>
      </c>
      <c r="D49" s="555" t="s">
        <v>48</v>
      </c>
      <c r="E49" s="555" t="s">
        <v>468</v>
      </c>
      <c r="F49" s="500" t="s">
        <v>459</v>
      </c>
      <c r="G49" s="513" t="s">
        <v>430</v>
      </c>
      <c r="H49" s="577" t="s">
        <v>184</v>
      </c>
      <c r="I49" s="287" t="s">
        <v>182</v>
      </c>
      <c r="J49" s="546" t="s">
        <v>26</v>
      </c>
      <c r="K49" s="504">
        <v>8907500</v>
      </c>
      <c r="L49" s="284">
        <v>8907384.7100000009</v>
      </c>
      <c r="M49" s="556" t="s">
        <v>400</v>
      </c>
      <c r="N49" s="284"/>
      <c r="O49" s="284">
        <f>1241236.45+96159781.6/386.38+118034920.8/403.19+119269571.9/387.69+118214384.3/387.64</f>
        <v>2395463.4501183401</v>
      </c>
      <c r="P49" s="578">
        <f t="shared" si="1"/>
        <v>8907384.7100000009</v>
      </c>
      <c r="Q49" s="288" t="s">
        <v>185</v>
      </c>
      <c r="R49" s="370" t="s">
        <v>428</v>
      </c>
      <c r="S49" s="10"/>
      <c r="T49" s="2"/>
    </row>
    <row r="50" spans="1:20" ht="116.25" customHeight="1" outlineLevel="1" thickBot="1" x14ac:dyDescent="0.3">
      <c r="A50" s="225">
        <v>27</v>
      </c>
      <c r="B50" s="367" t="s">
        <v>71</v>
      </c>
      <c r="C50" s="579" t="s">
        <v>180</v>
      </c>
      <c r="D50" s="580"/>
      <c r="E50" s="580"/>
      <c r="F50" s="507"/>
      <c r="G50" s="513" t="s">
        <v>430</v>
      </c>
      <c r="H50" s="577" t="s">
        <v>181</v>
      </c>
      <c r="I50" s="581" t="s">
        <v>182</v>
      </c>
      <c r="J50" s="582" t="s">
        <v>26</v>
      </c>
      <c r="K50" s="583">
        <v>21092500</v>
      </c>
      <c r="L50" s="284">
        <v>21092210.790000003</v>
      </c>
      <c r="M50" s="584" t="s">
        <v>400</v>
      </c>
      <c r="N50" s="284"/>
      <c r="O50" s="284">
        <f>3081286.01+227668040/386.38+279535083/403.19+282423985/387.69+(79661738.3+200263572)/387.64</f>
        <v>5814433.9830596093</v>
      </c>
      <c r="P50" s="585">
        <f t="shared" si="1"/>
        <v>21092210.790000003</v>
      </c>
      <c r="Q50" s="288" t="s">
        <v>183</v>
      </c>
      <c r="R50" s="586" t="s">
        <v>428</v>
      </c>
      <c r="S50" s="10"/>
      <c r="T50" s="2"/>
    </row>
    <row r="51" spans="1:20" s="594" customFormat="1" ht="15" customHeight="1" x14ac:dyDescent="0.25">
      <c r="A51" s="587" t="s">
        <v>158</v>
      </c>
      <c r="B51" s="588"/>
      <c r="C51" s="589"/>
      <c r="D51" s="590"/>
      <c r="E51" s="590"/>
      <c r="F51" s="590"/>
      <c r="G51" s="590"/>
      <c r="H51" s="590"/>
      <c r="I51" s="590"/>
      <c r="J51" s="590" t="s">
        <v>30</v>
      </c>
      <c r="K51" s="591">
        <f>SUMIF($J$5:$J$50,J51,$K$5:$K$50)</f>
        <v>275755742.28000003</v>
      </c>
      <c r="L51" s="591">
        <f>SUMIF($J$5:$J$50,J51,$L$5:$L$50)</f>
        <v>98188339.270000011</v>
      </c>
      <c r="M51" s="591"/>
      <c r="N51" s="591">
        <f>SUMIF($J$5:$J$50,J51,$N$5:$N$50)</f>
        <v>42494307.343892485</v>
      </c>
      <c r="O51" s="591">
        <f>SUMIF($J$5:$J$50,J51,$O$5:$O$50)</f>
        <v>18094860.897632036</v>
      </c>
      <c r="P51" s="591">
        <f>SUMIF($J$5:$J$50,J51,$P$5:$P$50)</f>
        <v>56455600.356107518</v>
      </c>
      <c r="Q51" s="592"/>
      <c r="R51" s="593"/>
      <c r="S51" s="10"/>
      <c r="T51" s="2"/>
    </row>
    <row r="52" spans="1:20" s="594" customFormat="1" ht="15" customHeight="1" x14ac:dyDescent="0.25">
      <c r="A52" s="595"/>
      <c r="B52" s="596"/>
      <c r="C52" s="597"/>
      <c r="D52" s="598"/>
      <c r="E52" s="598"/>
      <c r="F52" s="598"/>
      <c r="G52" s="598"/>
      <c r="H52" s="598"/>
      <c r="I52" s="598"/>
      <c r="J52" s="598" t="s">
        <v>51</v>
      </c>
      <c r="K52" s="599">
        <f>SUMIF($J$5:$J$50,J52,$K$5:$K$50)</f>
        <v>76208933760.600006</v>
      </c>
      <c r="L52" s="599">
        <f>SUMIF($J$5:$J$50,J52,$L$5:$L$50)</f>
        <v>74951165960.600006</v>
      </c>
      <c r="M52" s="599"/>
      <c r="N52" s="599">
        <f>SUMIF($J$5:$J$50,J52,$N$5:$N$50)</f>
        <v>18347991275.676319</v>
      </c>
      <c r="O52" s="599">
        <f>SUMIF($J$5:$J$50,J52,$O$5:$O$50)</f>
        <v>18003894781.62175</v>
      </c>
      <c r="P52" s="599">
        <f>SUMIF($J$5:$J$50,J52,$P$5:$P$50)</f>
        <v>56603174684.923676</v>
      </c>
      <c r="Q52" s="600"/>
      <c r="R52" s="601"/>
      <c r="S52" s="10"/>
      <c r="T52" s="2"/>
    </row>
    <row r="53" spans="1:20" s="594" customFormat="1" ht="15" customHeight="1" x14ac:dyDescent="0.25">
      <c r="A53" s="595"/>
      <c r="B53" s="596"/>
      <c r="C53" s="597"/>
      <c r="D53" s="598"/>
      <c r="E53" s="598"/>
      <c r="F53" s="598"/>
      <c r="G53" s="598"/>
      <c r="H53" s="598"/>
      <c r="I53" s="598"/>
      <c r="J53" s="598" t="s">
        <v>26</v>
      </c>
      <c r="K53" s="599">
        <f>SUMIF($J$5:$J$50,J53,$K$5:$K$50)</f>
        <v>483654882.94</v>
      </c>
      <c r="L53" s="599">
        <f>SUMIF($J$5:$J$50,J53,$L$5:$L$50)</f>
        <v>326211926.05000007</v>
      </c>
      <c r="M53" s="599"/>
      <c r="N53" s="599">
        <f>SUMIF($J$5:$J$50,J53,$N$5:$N$50)</f>
        <v>126040177.15797873</v>
      </c>
      <c r="O53" s="599">
        <f>SUMIF($J$5:$J$50,J53,$O$5:$O$50)</f>
        <v>64492079.365020916</v>
      </c>
      <c r="P53" s="599">
        <f>SUMIF($J$5:$J$50,J53,$P$5:$P$50)</f>
        <v>200171748.8920213</v>
      </c>
      <c r="Q53" s="600"/>
      <c r="R53" s="601"/>
      <c r="S53" s="10"/>
      <c r="T53" s="2"/>
    </row>
    <row r="54" spans="1:20" s="594" customFormat="1" ht="15" customHeight="1" x14ac:dyDescent="0.25">
      <c r="A54" s="595"/>
      <c r="B54" s="596"/>
      <c r="C54" s="597"/>
      <c r="D54" s="602"/>
      <c r="E54" s="602"/>
      <c r="F54" s="602"/>
      <c r="G54" s="602"/>
      <c r="H54" s="602"/>
      <c r="I54" s="602"/>
      <c r="J54" s="602" t="s">
        <v>18</v>
      </c>
      <c r="K54" s="603">
        <f>SUMIF($J$5:$J$50,J54,$K$5:$K$50)</f>
        <v>31777311969</v>
      </c>
      <c r="L54" s="603">
        <f>SUMIF($J$5:$J$50,J54,$L$5:$L$50)</f>
        <v>31859249643</v>
      </c>
      <c r="M54" s="603"/>
      <c r="N54" s="603">
        <f>SUMIF($J$5:$J$50,J54,$N$5:$N$50)</f>
        <v>13318630440.231791</v>
      </c>
      <c r="O54" s="603">
        <f>SUMIF($J$5:$J$50,J54,$O$5:$O$50)</f>
        <v>3728665131.7821455</v>
      </c>
      <c r="P54" s="603">
        <f>SUMIF($J$5:$J$50,J54,$P$5:$P$50)</f>
        <v>18540619202.768208</v>
      </c>
      <c r="Q54" s="604"/>
      <c r="R54" s="605"/>
      <c r="S54" s="10"/>
      <c r="T54" s="2"/>
    </row>
    <row r="55" spans="1:20" s="594" customFormat="1" ht="15" customHeight="1" thickBot="1" x14ac:dyDescent="0.3">
      <c r="A55" s="606"/>
      <c r="B55" s="607"/>
      <c r="C55" s="608"/>
      <c r="D55" s="609"/>
      <c r="E55" s="609"/>
      <c r="F55" s="609"/>
      <c r="G55" s="609"/>
      <c r="H55" s="610"/>
      <c r="I55" s="611"/>
      <c r="J55" s="612" t="s">
        <v>216</v>
      </c>
      <c r="K55" s="613">
        <f>SUMIF($J$5:$J$50,J55,$K$5:$K$50)</f>
        <v>24086688</v>
      </c>
      <c r="L55" s="613">
        <f>SUMIF($J$5:$J$50,J55,$L$5:$L$50)</f>
        <v>18384172.012149811</v>
      </c>
      <c r="M55" s="613"/>
      <c r="N55" s="613">
        <f>SUMIF($J$5:$J$50,J55,$N$5:$N$50)</f>
        <v>4824455.8054339811</v>
      </c>
      <c r="O55" s="613">
        <f>SUMIF($J$5:$J$50,J55,$O$5:$O$50)</f>
        <v>3135419.4621466845</v>
      </c>
      <c r="P55" s="613">
        <f>SUMIF($J$5:$J$50,J55,$P$5:$P$50)</f>
        <v>13559716.206715828</v>
      </c>
      <c r="Q55" s="614"/>
      <c r="R55" s="615"/>
      <c r="S55" s="10"/>
      <c r="T55" s="2"/>
    </row>
    <row r="56" spans="1:20" ht="96.75" customHeight="1" outlineLevel="1" x14ac:dyDescent="0.25">
      <c r="A56" s="511">
        <v>28</v>
      </c>
      <c r="B56" s="512" t="s">
        <v>309</v>
      </c>
      <c r="C56" s="367" t="s">
        <v>171</v>
      </c>
      <c r="D56" s="513" t="s">
        <v>52</v>
      </c>
      <c r="E56" s="513" t="s">
        <v>468</v>
      </c>
      <c r="F56" s="577" t="s">
        <v>460</v>
      </c>
      <c r="G56" s="513" t="s">
        <v>430</v>
      </c>
      <c r="H56" s="577" t="s">
        <v>53</v>
      </c>
      <c r="I56" s="577" t="s">
        <v>81</v>
      </c>
      <c r="J56" s="546" t="s">
        <v>30</v>
      </c>
      <c r="K56" s="287">
        <v>5000000</v>
      </c>
      <c r="L56" s="287">
        <v>5000000</v>
      </c>
      <c r="M56" s="520" t="s">
        <v>197</v>
      </c>
      <c r="N56" s="287">
        <f>4166666.69+208333.33+88124985.9/423+87866652.7/421.76+87864653.7/421.75</f>
        <v>5000000.1203959631</v>
      </c>
      <c r="O56" s="287">
        <v>583240</v>
      </c>
      <c r="P56" s="287">
        <f t="shared" ref="P56:P61" si="2">L56-N56</f>
        <v>-0.12039596308022738</v>
      </c>
      <c r="Q56" s="517" t="s">
        <v>111</v>
      </c>
      <c r="R56" s="518" t="s">
        <v>482</v>
      </c>
      <c r="T56" s="2"/>
    </row>
    <row r="57" spans="1:20" ht="86.25" customHeight="1" outlineLevel="1" x14ac:dyDescent="0.25">
      <c r="A57" s="575">
        <v>29</v>
      </c>
      <c r="B57" s="499" t="s">
        <v>306</v>
      </c>
      <c r="C57" s="282" t="s">
        <v>172</v>
      </c>
      <c r="D57" s="616" t="s">
        <v>52</v>
      </c>
      <c r="E57" s="555" t="s">
        <v>468</v>
      </c>
      <c r="F57" s="501" t="s">
        <v>461</v>
      </c>
      <c r="G57" s="616" t="s">
        <v>430</v>
      </c>
      <c r="H57" s="501" t="s">
        <v>54</v>
      </c>
      <c r="I57" s="501" t="s">
        <v>82</v>
      </c>
      <c r="J57" s="503" t="s">
        <v>30</v>
      </c>
      <c r="K57" s="284">
        <v>5000000</v>
      </c>
      <c r="L57" s="284">
        <v>5000000</v>
      </c>
      <c r="M57" s="556" t="s">
        <v>197</v>
      </c>
      <c r="N57" s="284">
        <f>3125000+208333.33+88124985.9/423+87866652.7/421.76+87864569.3/421.75+92314568.6/443.11</f>
        <v>4166666.530360911</v>
      </c>
      <c r="O57" s="284">
        <f>427171.1+9524250.7/443.11</f>
        <v>448665.20011058199</v>
      </c>
      <c r="P57" s="284">
        <f t="shared" si="2"/>
        <v>833333.46963908896</v>
      </c>
      <c r="Q57" s="500" t="s">
        <v>111</v>
      </c>
      <c r="R57" s="282" t="s">
        <v>428</v>
      </c>
      <c r="T57" s="2"/>
    </row>
    <row r="58" spans="1:20" ht="84.75" customHeight="1" outlineLevel="1" x14ac:dyDescent="0.25">
      <c r="A58" s="575">
        <v>30</v>
      </c>
      <c r="B58" s="499" t="s">
        <v>306</v>
      </c>
      <c r="C58" s="367" t="s">
        <v>505</v>
      </c>
      <c r="D58" s="616" t="s">
        <v>414</v>
      </c>
      <c r="E58" s="557"/>
      <c r="F58" s="508"/>
      <c r="G58" s="616" t="s">
        <v>431</v>
      </c>
      <c r="H58" s="508"/>
      <c r="I58" s="508"/>
      <c r="J58" s="618" t="s">
        <v>51</v>
      </c>
      <c r="K58" s="284">
        <v>66094595</v>
      </c>
      <c r="L58" s="284">
        <v>66094595</v>
      </c>
      <c r="M58" s="556" t="s">
        <v>197</v>
      </c>
      <c r="N58" s="284">
        <f>6609471.44+6609433.4+6609473.7+6609459.5+6609459.5+6609459.5</f>
        <v>39656757.039999999</v>
      </c>
      <c r="O58" s="284">
        <f>4464832.29773529+681909</f>
        <v>5146741.2977352897</v>
      </c>
      <c r="P58" s="284">
        <f t="shared" si="2"/>
        <v>26437837.960000001</v>
      </c>
      <c r="Q58" s="507"/>
      <c r="R58" s="282" t="s">
        <v>428</v>
      </c>
      <c r="T58" s="2"/>
    </row>
    <row r="59" spans="1:20" ht="89.25" customHeight="1" outlineLevel="1" x14ac:dyDescent="0.25">
      <c r="A59" s="225">
        <v>31</v>
      </c>
      <c r="B59" s="495" t="s">
        <v>307</v>
      </c>
      <c r="C59" s="282" t="s">
        <v>173</v>
      </c>
      <c r="D59" s="368" t="s">
        <v>56</v>
      </c>
      <c r="E59" s="368" t="s">
        <v>468</v>
      </c>
      <c r="F59" s="552" t="s">
        <v>462</v>
      </c>
      <c r="G59" s="368" t="s">
        <v>430</v>
      </c>
      <c r="H59" s="552" t="s">
        <v>55</v>
      </c>
      <c r="I59" s="552" t="s">
        <v>83</v>
      </c>
      <c r="J59" s="503" t="s">
        <v>30</v>
      </c>
      <c r="K59" s="284">
        <v>5000000</v>
      </c>
      <c r="L59" s="284">
        <v>5000000</v>
      </c>
      <c r="M59" s="290" t="s">
        <v>197</v>
      </c>
      <c r="N59" s="284">
        <f>3227272.74+97124988.4/427.35+96136352.1/423+95854533.9/421.76+95852303.4/421.75+100706806.1/443.11</f>
        <v>4363636.3400121778</v>
      </c>
      <c r="O59" s="284">
        <v>550222</v>
      </c>
      <c r="P59" s="284">
        <f t="shared" si="2"/>
        <v>636363.65998782218</v>
      </c>
      <c r="Q59" s="291" t="s">
        <v>111</v>
      </c>
      <c r="R59" s="369" t="s">
        <v>428</v>
      </c>
      <c r="T59" s="2"/>
    </row>
    <row r="60" spans="1:20" ht="57" customHeight="1" outlineLevel="1" x14ac:dyDescent="0.25">
      <c r="A60" s="498">
        <v>32</v>
      </c>
      <c r="B60" s="499" t="s">
        <v>308</v>
      </c>
      <c r="C60" s="500" t="s">
        <v>174</v>
      </c>
      <c r="D60" s="616" t="s">
        <v>56</v>
      </c>
      <c r="E60" s="555" t="s">
        <v>468</v>
      </c>
      <c r="F60" s="552" t="s">
        <v>463</v>
      </c>
      <c r="G60" s="616" t="s">
        <v>430</v>
      </c>
      <c r="H60" s="617" t="s">
        <v>57</v>
      </c>
      <c r="I60" s="617" t="s">
        <v>84</v>
      </c>
      <c r="J60" s="618" t="s">
        <v>30</v>
      </c>
      <c r="K60" s="619">
        <v>5000000</v>
      </c>
      <c r="L60" s="284">
        <f>3000000+2000000</f>
        <v>5000000</v>
      </c>
      <c r="M60" s="620" t="s">
        <v>378</v>
      </c>
      <c r="N60" s="284">
        <f>676724.137931034+46797420.6/423+46660236.7/421.76+46659130.4/421.75+49022234.1/443.11</f>
        <v>1119252.9380211914</v>
      </c>
      <c r="O60" s="284">
        <f>264937.427195312+21845766.1/443.11</f>
        <v>314238.42717274424</v>
      </c>
      <c r="P60" s="619">
        <f t="shared" si="2"/>
        <v>3880747.0619788086</v>
      </c>
      <c r="Q60" s="500" t="s">
        <v>111</v>
      </c>
      <c r="R60" s="369" t="s">
        <v>428</v>
      </c>
      <c r="T60" s="2"/>
    </row>
    <row r="61" spans="1:20" ht="57" customHeight="1" outlineLevel="1" thickBot="1" x14ac:dyDescent="0.3">
      <c r="A61" s="621"/>
      <c r="B61" s="499" t="s">
        <v>308</v>
      </c>
      <c r="C61" s="622"/>
      <c r="D61" s="616" t="s">
        <v>414</v>
      </c>
      <c r="E61" s="580"/>
      <c r="F61" s="616"/>
      <c r="G61" s="616" t="s">
        <v>431</v>
      </c>
      <c r="H61" s="617" t="s">
        <v>57</v>
      </c>
      <c r="I61" s="617" t="s">
        <v>356</v>
      </c>
      <c r="J61" s="618" t="s">
        <v>51</v>
      </c>
      <c r="K61" s="619">
        <v>188100081.11000004</v>
      </c>
      <c r="L61" s="284">
        <v>188100081.11000004</v>
      </c>
      <c r="M61" s="620">
        <v>1.404E-2</v>
      </c>
      <c r="N61" s="284">
        <f>9751561.92837819+3148517+4073473.9+4413816.1+8906910</f>
        <v>30294278.928378187</v>
      </c>
      <c r="O61" s="284">
        <f>2860113.02682379+907883.8</f>
        <v>3767996.8268237896</v>
      </c>
      <c r="P61" s="619">
        <f t="shared" si="2"/>
        <v>157805802.18162185</v>
      </c>
      <c r="Q61" s="622"/>
      <c r="R61" s="623" t="s">
        <v>428</v>
      </c>
      <c r="T61" s="2"/>
    </row>
    <row r="62" spans="1:20" s="594" customFormat="1" ht="15" customHeight="1" x14ac:dyDescent="0.25">
      <c r="A62" s="587" t="s">
        <v>159</v>
      </c>
      <c r="B62" s="588"/>
      <c r="C62" s="589"/>
      <c r="D62" s="624"/>
      <c r="E62" s="624"/>
      <c r="F62" s="624"/>
      <c r="G62" s="590"/>
      <c r="H62" s="590"/>
      <c r="I62" s="590"/>
      <c r="J62" s="590" t="s">
        <v>30</v>
      </c>
      <c r="K62" s="591">
        <f>SUMIF($J$56:$J$61,J62,$K$56:$K$61)</f>
        <v>20000000</v>
      </c>
      <c r="L62" s="591">
        <f>SUMIF($J$56:$J$61,J62,$L$56:$L$61)</f>
        <v>20000000</v>
      </c>
      <c r="M62" s="625"/>
      <c r="N62" s="591">
        <f>SUMIF($J$56:$J$61,J62,$N$56:$N$61)</f>
        <v>14649555.928790241</v>
      </c>
      <c r="O62" s="591">
        <f>SUMIF($J$56:$J$61,J62,$O$56:$O$61)</f>
        <v>1896365.6272833261</v>
      </c>
      <c r="P62" s="591">
        <f>SUMIF($J$56:$J$61,J62,$P$56:$P$61)</f>
        <v>5350444.0712097567</v>
      </c>
      <c r="Q62" s="592"/>
      <c r="R62" s="593"/>
      <c r="S62" s="10"/>
      <c r="T62" s="2"/>
    </row>
    <row r="63" spans="1:20" s="594" customFormat="1" ht="15" customHeight="1" x14ac:dyDescent="0.25">
      <c r="A63" s="595"/>
      <c r="B63" s="596"/>
      <c r="C63" s="597"/>
      <c r="D63" s="562"/>
      <c r="E63" s="562"/>
      <c r="F63" s="562"/>
      <c r="G63" s="598"/>
      <c r="H63" s="598"/>
      <c r="I63" s="598"/>
      <c r="J63" s="598" t="s">
        <v>51</v>
      </c>
      <c r="K63" s="599">
        <f>SUMIF($J$56:$J$61,J63,$K$56:$K$61)</f>
        <v>254194676.11000004</v>
      </c>
      <c r="L63" s="599">
        <f>SUMIF($J$56:$J$61,J63,$L$56:$L$61)</f>
        <v>254194676.11000004</v>
      </c>
      <c r="M63" s="599"/>
      <c r="N63" s="599">
        <f>SUMIF($J$56:$J$61,J63,$N$56:$N$61)</f>
        <v>69951035.968378186</v>
      </c>
      <c r="O63" s="599">
        <f>SUMIF($J$56:$J$61,J63,$O$56:$O$61)</f>
        <v>8914738.1245590784</v>
      </c>
      <c r="P63" s="599">
        <f>SUMIF($J$56:$J$61,J63,$P$56:$P$61)</f>
        <v>184243640.14162186</v>
      </c>
      <c r="Q63" s="600"/>
      <c r="R63" s="601"/>
      <c r="S63" s="10"/>
      <c r="T63" s="2"/>
    </row>
    <row r="64" spans="1:20" s="594" customFormat="1" ht="15" customHeight="1" x14ac:dyDescent="0.25">
      <c r="A64" s="595"/>
      <c r="B64" s="596"/>
      <c r="C64" s="597"/>
      <c r="D64" s="562"/>
      <c r="E64" s="562"/>
      <c r="F64" s="562"/>
      <c r="G64" s="598"/>
      <c r="H64" s="598"/>
      <c r="I64" s="598"/>
      <c r="J64" s="598" t="s">
        <v>26</v>
      </c>
      <c r="K64" s="599">
        <f>SUMIF($J$56:$J$61,J64,$K$56:$K$61)</f>
        <v>0</v>
      </c>
      <c r="L64" s="599">
        <f>SUMIF($J$56:$J$61,J64,$L$56:$L$61)</f>
        <v>0</v>
      </c>
      <c r="M64" s="599"/>
      <c r="N64" s="599">
        <f>SUMIF($J$56:$J$61,J64,$N$56:$N$61)</f>
        <v>0</v>
      </c>
      <c r="O64" s="599">
        <f>SUMIF($J$56:$J$61,J64,$O$56:$O$61)</f>
        <v>0</v>
      </c>
      <c r="P64" s="599">
        <f>SUMIF($J$56:$J$61,J64,$P$56:$P$61)</f>
        <v>0</v>
      </c>
      <c r="Q64" s="600"/>
      <c r="R64" s="601"/>
      <c r="S64" s="10"/>
      <c r="T64" s="2"/>
    </row>
    <row r="65" spans="1:20" s="594" customFormat="1" ht="15" customHeight="1" thickBot="1" x14ac:dyDescent="0.3">
      <c r="A65" s="606"/>
      <c r="B65" s="607"/>
      <c r="C65" s="608"/>
      <c r="D65" s="626"/>
      <c r="E65" s="626"/>
      <c r="F65" s="626"/>
      <c r="G65" s="609"/>
      <c r="H65" s="609"/>
      <c r="I65" s="609"/>
      <c r="J65" s="609" t="s">
        <v>18</v>
      </c>
      <c r="K65" s="613">
        <f>SUMIF($J$56:$J$61,J65,$K$56:$K$61)</f>
        <v>0</v>
      </c>
      <c r="L65" s="613">
        <f>SUMIF($J$56:$J$61,J65,$L$56:$L$61)</f>
        <v>0</v>
      </c>
      <c r="M65" s="613"/>
      <c r="N65" s="613">
        <f>SUMIF($J$56:$J$61,J65,$N$56:$N$61)</f>
        <v>0</v>
      </c>
      <c r="O65" s="613">
        <f>SUMIF($J$56:$J$61,J65,$O$56:$O$61)</f>
        <v>0</v>
      </c>
      <c r="P65" s="613">
        <f>SUMIF($J$56:$J$61,J65,$P$56:$P$61)</f>
        <v>0</v>
      </c>
      <c r="Q65" s="614"/>
      <c r="R65" s="615"/>
      <c r="S65" s="10"/>
      <c r="T65" s="2"/>
    </row>
    <row r="66" spans="1:20" s="6" customFormat="1" ht="91.5" customHeight="1" outlineLevel="1" x14ac:dyDescent="0.25">
      <c r="A66" s="225">
        <v>33</v>
      </c>
      <c r="B66" s="282" t="s">
        <v>100</v>
      </c>
      <c r="C66" s="282" t="s">
        <v>101</v>
      </c>
      <c r="D66" s="367" t="s">
        <v>417</v>
      </c>
      <c r="E66" s="289" t="s">
        <v>577</v>
      </c>
      <c r="F66" s="289" t="s">
        <v>102</v>
      </c>
      <c r="G66" s="368" t="s">
        <v>405</v>
      </c>
      <c r="H66" s="289"/>
      <c r="I66" s="282" t="s">
        <v>215</v>
      </c>
      <c r="J66" s="282" t="s">
        <v>51</v>
      </c>
      <c r="K66" s="284">
        <v>74000000000</v>
      </c>
      <c r="L66" s="284">
        <v>74000000000</v>
      </c>
      <c r="M66" s="290" t="s">
        <v>67</v>
      </c>
      <c r="N66" s="284">
        <f>38761904762.2+1761904761.9+1761904761.9+1761904761.9+1761904761.9+1761904761.9+1761904761.9+1761904761.9+1761904761.9+1761904761.9+1761904761.9+1761904761.9+1761904761.9+1761904761.9+1761904761.9+1761904761.9+1761904762+1761904762</f>
        <v>68714285714.70002</v>
      </c>
      <c r="O66" s="284">
        <f>27971909177.5+338144.2+498915.4+526901.3+642474.8+795979.5+10421637.5+1734045.9+86178.9+156588.3+335841+256258.7+369392+1307877+6082866+2634+4444.2+89905.9+257774</f>
        <v>27995817036.100006</v>
      </c>
      <c r="P66" s="286">
        <f>L66-N66</f>
        <v>5285714285.2999802</v>
      </c>
      <c r="Q66" s="291" t="s">
        <v>111</v>
      </c>
      <c r="R66" s="369" t="s">
        <v>428</v>
      </c>
      <c r="S66" s="5"/>
      <c r="T66" s="2"/>
    </row>
    <row r="67" spans="1:20" s="6" customFormat="1" ht="91.5" customHeight="1" outlineLevel="1" x14ac:dyDescent="0.25">
      <c r="A67" s="225">
        <v>34</v>
      </c>
      <c r="B67" s="282" t="s">
        <v>100</v>
      </c>
      <c r="C67" s="282" t="s">
        <v>131</v>
      </c>
      <c r="D67" s="282" t="s">
        <v>61</v>
      </c>
      <c r="E67" s="289" t="s">
        <v>578</v>
      </c>
      <c r="F67" s="289" t="s">
        <v>133</v>
      </c>
      <c r="G67" s="368" t="s">
        <v>405</v>
      </c>
      <c r="H67" s="289"/>
      <c r="I67" s="282" t="s">
        <v>134</v>
      </c>
      <c r="J67" s="282" t="s">
        <v>51</v>
      </c>
      <c r="K67" s="284">
        <v>2035890300</v>
      </c>
      <c r="L67" s="284">
        <v>2035890300</v>
      </c>
      <c r="M67" s="290" t="s">
        <v>98</v>
      </c>
      <c r="N67" s="284">
        <v>0</v>
      </c>
      <c r="O67" s="284">
        <v>0</v>
      </c>
      <c r="P67" s="286">
        <f t="shared" ref="P67:P72" si="3">L67-N67</f>
        <v>2035890300</v>
      </c>
      <c r="Q67" s="291" t="s">
        <v>111</v>
      </c>
      <c r="R67" s="369" t="s">
        <v>428</v>
      </c>
      <c r="S67" s="5"/>
      <c r="T67" s="2"/>
    </row>
    <row r="68" spans="1:20" ht="81" outlineLevel="1" x14ac:dyDescent="0.25">
      <c r="A68" s="511">
        <v>35</v>
      </c>
      <c r="B68" s="495" t="s">
        <v>3</v>
      </c>
      <c r="C68" s="282" t="s">
        <v>4</v>
      </c>
      <c r="D68" s="368" t="s">
        <v>61</v>
      </c>
      <c r="E68" s="368" t="s">
        <v>540</v>
      </c>
      <c r="F68" s="368" t="s">
        <v>506</v>
      </c>
      <c r="G68" s="368" t="s">
        <v>430</v>
      </c>
      <c r="H68" s="289" t="s">
        <v>539</v>
      </c>
      <c r="I68" s="368" t="s">
        <v>80</v>
      </c>
      <c r="J68" s="503" t="s">
        <v>30</v>
      </c>
      <c r="K68" s="284">
        <v>3500000</v>
      </c>
      <c r="L68" s="284">
        <v>3500000</v>
      </c>
      <c r="M68" s="290">
        <v>7.4999999999999997E-3</v>
      </c>
      <c r="N68" s="284">
        <f>696000+31440060/542.07+58000+24255020/418.19+24400600/420.7+25920780/446.91+24152360/416.42+23862360/411.42</f>
        <v>1102000</v>
      </c>
      <c r="O68" s="284">
        <f>399592.922231146+10515+10297.5+4215355.2/418.19+4149153.8/420.7+4310447/446.91+3925799.6/416.42+3789178.2/411.42</f>
        <v>468630.42258194601</v>
      </c>
      <c r="P68" s="286">
        <f t="shared" si="3"/>
        <v>2398000</v>
      </c>
      <c r="Q68" s="291" t="s">
        <v>111</v>
      </c>
      <c r="R68" s="369" t="s">
        <v>428</v>
      </c>
      <c r="T68" s="2"/>
    </row>
    <row r="69" spans="1:20" ht="128.25" customHeight="1" outlineLevel="1" x14ac:dyDescent="0.25">
      <c r="A69" s="225">
        <v>36</v>
      </c>
      <c r="B69" s="495" t="s">
        <v>118</v>
      </c>
      <c r="C69" s="282" t="s">
        <v>122</v>
      </c>
      <c r="D69" s="282" t="s">
        <v>8</v>
      </c>
      <c r="E69" s="282" t="s">
        <v>561</v>
      </c>
      <c r="F69" s="550" t="s">
        <v>119</v>
      </c>
      <c r="G69" s="368" t="s">
        <v>405</v>
      </c>
      <c r="H69" s="550"/>
      <c r="I69" s="368" t="s">
        <v>177</v>
      </c>
      <c r="J69" s="503" t="s">
        <v>26</v>
      </c>
      <c r="K69" s="286">
        <v>1689937.9</v>
      </c>
      <c r="L69" s="284">
        <v>1689937.9</v>
      </c>
      <c r="M69" s="570">
        <v>5.9900000000000002E-2</v>
      </c>
      <c r="N69" s="284">
        <f>872805.23+28165+28165+28165+28165</f>
        <v>985465.23</v>
      </c>
      <c r="O69" s="284">
        <f>1964862.47+25588.58+24871.58+24276.42+23029.84</f>
        <v>2062628.8900000001</v>
      </c>
      <c r="P69" s="286">
        <f t="shared" si="3"/>
        <v>704472.66999999993</v>
      </c>
      <c r="Q69" s="627" t="s">
        <v>111</v>
      </c>
      <c r="R69" s="628" t="s">
        <v>428</v>
      </c>
      <c r="T69" s="2"/>
    </row>
    <row r="70" spans="1:20" ht="98.25" customHeight="1" outlineLevel="1" x14ac:dyDescent="0.25">
      <c r="A70" s="511">
        <v>37</v>
      </c>
      <c r="B70" s="495" t="s">
        <v>120</v>
      </c>
      <c r="C70" s="282" t="s">
        <v>123</v>
      </c>
      <c r="D70" s="282" t="s">
        <v>8</v>
      </c>
      <c r="E70" s="282" t="s">
        <v>562</v>
      </c>
      <c r="F70" s="550" t="s">
        <v>121</v>
      </c>
      <c r="G70" s="368" t="s">
        <v>405</v>
      </c>
      <c r="H70" s="550"/>
      <c r="I70" s="368" t="s">
        <v>178</v>
      </c>
      <c r="J70" s="503" t="s">
        <v>26</v>
      </c>
      <c r="K70" s="286">
        <v>2828000</v>
      </c>
      <c r="L70" s="284">
        <v>2828000</v>
      </c>
      <c r="M70" s="570">
        <v>5.9900000000000002E-2</v>
      </c>
      <c r="N70" s="286">
        <f>1128831.5+47000+47000+47000+47000</f>
        <v>1316831.5</v>
      </c>
      <c r="O70" s="284">
        <f>1731608.85+50775.51+49371.71+48231.48+46564.13</f>
        <v>1926551.68</v>
      </c>
      <c r="P70" s="286">
        <f t="shared" si="3"/>
        <v>1511168.5</v>
      </c>
      <c r="Q70" s="627" t="s">
        <v>111</v>
      </c>
      <c r="R70" s="628" t="s">
        <v>428</v>
      </c>
      <c r="T70" s="2"/>
    </row>
    <row r="71" spans="1:20" s="215" customFormat="1" ht="140.25" customHeight="1" outlineLevel="1" x14ac:dyDescent="0.25">
      <c r="A71" s="225">
        <v>38</v>
      </c>
      <c r="B71" s="495" t="s">
        <v>114</v>
      </c>
      <c r="C71" s="282" t="s">
        <v>115</v>
      </c>
      <c r="D71" s="282" t="s">
        <v>8</v>
      </c>
      <c r="E71" s="495" t="s">
        <v>560</v>
      </c>
      <c r="F71" s="368" t="s">
        <v>116</v>
      </c>
      <c r="G71" s="368" t="s">
        <v>538</v>
      </c>
      <c r="H71" s="368"/>
      <c r="I71" s="368" t="s">
        <v>117</v>
      </c>
      <c r="J71" s="282" t="s">
        <v>51</v>
      </c>
      <c r="K71" s="516">
        <v>2092000000</v>
      </c>
      <c r="L71" s="284">
        <v>2092000000</v>
      </c>
      <c r="M71" s="629">
        <v>0.02</v>
      </c>
      <c r="N71" s="284">
        <f>354576270+35457627.1+35457627+35457627+35457627+35457627.12</f>
        <v>531864405.22000003</v>
      </c>
      <c r="O71" s="284">
        <f>426427783.87+17517039.3+16879773.4+16802058.1+16265822.2+16087076.86</f>
        <v>509979553.73000002</v>
      </c>
      <c r="P71" s="286">
        <f t="shared" si="3"/>
        <v>1560135594.78</v>
      </c>
      <c r="Q71" s="627" t="s">
        <v>111</v>
      </c>
      <c r="R71" s="628" t="s">
        <v>428</v>
      </c>
      <c r="S71" s="214"/>
      <c r="T71" s="2"/>
    </row>
    <row r="72" spans="1:20" s="215" customFormat="1" ht="151.5" customHeight="1" outlineLevel="1" thickBot="1" x14ac:dyDescent="0.3">
      <c r="A72" s="630">
        <v>39</v>
      </c>
      <c r="B72" s="631" t="s">
        <v>114</v>
      </c>
      <c r="C72" s="522" t="s">
        <v>212</v>
      </c>
      <c r="D72" s="522" t="s">
        <v>8</v>
      </c>
      <c r="E72" s="522" t="s">
        <v>563</v>
      </c>
      <c r="F72" s="523" t="s">
        <v>213</v>
      </c>
      <c r="G72" s="368" t="s">
        <v>538</v>
      </c>
      <c r="H72" s="523"/>
      <c r="I72" s="523" t="s">
        <v>214</v>
      </c>
      <c r="J72" s="523" t="s">
        <v>51</v>
      </c>
      <c r="K72" s="632">
        <v>2187306400</v>
      </c>
      <c r="L72" s="632">
        <v>2187306400</v>
      </c>
      <c r="M72" s="633">
        <v>0.03</v>
      </c>
      <c r="N72" s="634">
        <v>75424358.620000005</v>
      </c>
      <c r="O72" s="634">
        <f>224789707.9+33079263.9+32539928.1+33079263.9+32719706.7+33079263.9</f>
        <v>389287134.39999998</v>
      </c>
      <c r="P72" s="635">
        <f t="shared" si="3"/>
        <v>2111882041.3800001</v>
      </c>
      <c r="Q72" s="636" t="s">
        <v>111</v>
      </c>
      <c r="R72" s="637" t="s">
        <v>428</v>
      </c>
      <c r="S72" s="214"/>
      <c r="T72" s="2"/>
    </row>
    <row r="73" spans="1:20" s="594" customFormat="1" ht="15" customHeight="1" x14ac:dyDescent="0.25">
      <c r="A73" s="595" t="s">
        <v>160</v>
      </c>
      <c r="B73" s="596"/>
      <c r="C73" s="597"/>
      <c r="D73" s="638"/>
      <c r="E73" s="638"/>
      <c r="F73" s="638"/>
      <c r="G73" s="639"/>
      <c r="H73" s="639"/>
      <c r="I73" s="639"/>
      <c r="J73" s="639" t="s">
        <v>30</v>
      </c>
      <c r="K73" s="640">
        <f>SUMIF($J$66:$J$72,J73,$K$66:$K$72)</f>
        <v>3500000</v>
      </c>
      <c r="L73" s="640">
        <f>SUMIF($J$66:$J$72,J73,$L$66:$L$72)</f>
        <v>3500000</v>
      </c>
      <c r="M73" s="640"/>
      <c r="N73" s="640">
        <f>SUMIF($J$66:$J$72,J73,$N$66:$N$72)</f>
        <v>1102000</v>
      </c>
      <c r="O73" s="640">
        <f>SUMIF($J$66:$J$72,J73,$O$66:$O$72)</f>
        <v>468630.42258194601</v>
      </c>
      <c r="P73" s="640">
        <f>SUMIF($J$66:$J$72,J73,$P$66:$P$72)</f>
        <v>2398000</v>
      </c>
      <c r="Q73" s="641"/>
      <c r="R73" s="593"/>
      <c r="S73" s="10"/>
      <c r="T73" s="2"/>
    </row>
    <row r="74" spans="1:20" s="594" customFormat="1" ht="15" customHeight="1" x14ac:dyDescent="0.25">
      <c r="A74" s="595"/>
      <c r="B74" s="596"/>
      <c r="C74" s="597"/>
      <c r="D74" s="562"/>
      <c r="E74" s="562"/>
      <c r="F74" s="562"/>
      <c r="G74" s="598"/>
      <c r="H74" s="598"/>
      <c r="I74" s="598"/>
      <c r="J74" s="598" t="s">
        <v>51</v>
      </c>
      <c r="K74" s="599">
        <f>SUMIF($J$66:$J$72,J74,$K$66:$K$72)</f>
        <v>80315196700</v>
      </c>
      <c r="L74" s="599">
        <f>SUMIF($J$66:$J$72,J74,$L$66:$L$72)</f>
        <v>80315196700</v>
      </c>
      <c r="M74" s="599"/>
      <c r="N74" s="599">
        <f>SUMIF($J$66:$J$72,J74,$N$66:$N$72)</f>
        <v>69321574478.540009</v>
      </c>
      <c r="O74" s="599">
        <f>SUMIF($J$66:$J$72,J74,$O$66:$O$72)</f>
        <v>28895083724.230007</v>
      </c>
      <c r="P74" s="599">
        <f>SUMIF($J$66:$J$72,J74,$P$66:$P$72)</f>
        <v>10993622221.45998</v>
      </c>
      <c r="Q74" s="600"/>
      <c r="R74" s="601"/>
      <c r="S74" s="10"/>
      <c r="T74" s="2"/>
    </row>
    <row r="75" spans="1:20" s="594" customFormat="1" ht="15" customHeight="1" x14ac:dyDescent="0.25">
      <c r="A75" s="595"/>
      <c r="B75" s="596"/>
      <c r="C75" s="597"/>
      <c r="D75" s="562"/>
      <c r="E75" s="562"/>
      <c r="F75" s="562"/>
      <c r="G75" s="598"/>
      <c r="H75" s="598"/>
      <c r="I75" s="598"/>
      <c r="J75" s="598" t="s">
        <v>26</v>
      </c>
      <c r="K75" s="599">
        <f>SUMIF($J$66:$J$72,J75,$K$66:$K$72)</f>
        <v>4517937.9000000004</v>
      </c>
      <c r="L75" s="599">
        <f>SUMIF($J$66:$J$72,J75,$L$66:$L$72)</f>
        <v>4517937.9000000004</v>
      </c>
      <c r="M75" s="599"/>
      <c r="N75" s="599">
        <f>SUMIF($J$66:$J$72,J75,$N$66:$N$72)</f>
        <v>2302296.73</v>
      </c>
      <c r="O75" s="599">
        <f>SUMIF($J$66:$J$72,J75,$O$66:$O$72)</f>
        <v>3989180.5700000003</v>
      </c>
      <c r="P75" s="599">
        <f>SUMIF($J$66:$J$72,J75,$P$66:$P$72)</f>
        <v>2215641.17</v>
      </c>
      <c r="Q75" s="600"/>
      <c r="R75" s="601"/>
      <c r="S75" s="10"/>
      <c r="T75" s="2"/>
    </row>
    <row r="76" spans="1:20" s="594" customFormat="1" ht="15" customHeight="1" thickBot="1" x14ac:dyDescent="0.3">
      <c r="A76" s="606"/>
      <c r="B76" s="607"/>
      <c r="C76" s="608"/>
      <c r="D76" s="626"/>
      <c r="E76" s="626"/>
      <c r="F76" s="626"/>
      <c r="G76" s="609"/>
      <c r="H76" s="609"/>
      <c r="I76" s="609"/>
      <c r="J76" s="609" t="s">
        <v>18</v>
      </c>
      <c r="K76" s="613">
        <f>SUMIF($J$66:$J$72,J76,$K$66:$K$72)</f>
        <v>0</v>
      </c>
      <c r="L76" s="613">
        <f>SUMIF($J$66:$J$72,J76,$L$66:$L$72)</f>
        <v>0</v>
      </c>
      <c r="M76" s="613"/>
      <c r="N76" s="613">
        <f>SUMIF($J$66:$J$72,J76,$N$66:$N$72)</f>
        <v>0</v>
      </c>
      <c r="O76" s="613">
        <f>SUMIF($J$66:$J$72,J76,$O$66:$O$72)</f>
        <v>0</v>
      </c>
      <c r="P76" s="613">
        <f>SUMIF($J$66:$J$72,J76,$P$66:$P$72)</f>
        <v>0</v>
      </c>
      <c r="Q76" s="614"/>
      <c r="R76" s="615"/>
      <c r="S76" s="10"/>
      <c r="T76" s="2"/>
    </row>
    <row r="77" spans="1:20" s="6" customFormat="1" ht="77.25" customHeight="1" outlineLevel="1" x14ac:dyDescent="0.25">
      <c r="A77" s="225">
        <v>40</v>
      </c>
      <c r="B77" s="495" t="s">
        <v>124</v>
      </c>
      <c r="C77" s="282" t="s">
        <v>107</v>
      </c>
      <c r="D77" s="367" t="s">
        <v>106</v>
      </c>
      <c r="E77" s="367"/>
      <c r="F77" s="367" t="s">
        <v>135</v>
      </c>
      <c r="G77" s="513" t="s">
        <v>488</v>
      </c>
      <c r="H77" s="367"/>
      <c r="I77" s="282" t="s">
        <v>231</v>
      </c>
      <c r="J77" s="503" t="s">
        <v>26</v>
      </c>
      <c r="K77" s="284">
        <v>361332</v>
      </c>
      <c r="L77" s="284">
        <v>361332</v>
      </c>
      <c r="M77" s="290">
        <v>7.7700000000000005E-2</v>
      </c>
      <c r="N77" s="284">
        <f>219031+1000000/388.24</f>
        <v>221606.72635483206</v>
      </c>
      <c r="O77" s="284">
        <f>187530</f>
        <v>187530</v>
      </c>
      <c r="P77" s="286">
        <f>L77-N77</f>
        <v>139725.27364516794</v>
      </c>
      <c r="Q77" s="291" t="s">
        <v>127</v>
      </c>
      <c r="R77" s="518" t="s">
        <v>433</v>
      </c>
      <c r="S77" s="5"/>
      <c r="T77" s="2"/>
    </row>
    <row r="78" spans="1:20" ht="136.5" customHeight="1" outlineLevel="1" x14ac:dyDescent="0.25">
      <c r="A78" s="225">
        <v>41</v>
      </c>
      <c r="B78" s="495" t="s">
        <v>219</v>
      </c>
      <c r="C78" s="282" t="s">
        <v>238</v>
      </c>
      <c r="D78" s="616" t="s">
        <v>52</v>
      </c>
      <c r="E78" s="616" t="s">
        <v>564</v>
      </c>
      <c r="F78" s="616"/>
      <c r="G78" s="616" t="s">
        <v>430</v>
      </c>
      <c r="H78" s="552" t="s">
        <v>220</v>
      </c>
      <c r="I78" s="284" t="s">
        <v>221</v>
      </c>
      <c r="J78" s="503" t="s">
        <v>30</v>
      </c>
      <c r="K78" s="284">
        <v>8000000</v>
      </c>
      <c r="L78" s="284">
        <v>80000</v>
      </c>
      <c r="M78" s="290" t="s">
        <v>98</v>
      </c>
      <c r="N78" s="284">
        <f>10909.09+3636.36+3636.36+1428217/392.76+1554016/427.35+3636.4+3632.85+3636.4+3636.4</f>
        <v>39996.621703756209</v>
      </c>
      <c r="O78" s="284">
        <f>105386.95+361.72+42360.02+4761284/392.76+5116448/427.35+12019.8+11989.6+11973.65+11692.5+220.61</f>
        <v>220099.97988818213</v>
      </c>
      <c r="P78" s="286">
        <f>L78-N78</f>
        <v>40003.378296243791</v>
      </c>
      <c r="Q78" s="291" t="s">
        <v>222</v>
      </c>
      <c r="R78" s="369" t="s">
        <v>428</v>
      </c>
      <c r="T78" s="2"/>
    </row>
    <row r="79" spans="1:20" ht="108.75" customHeight="1" outlineLevel="1" x14ac:dyDescent="0.25">
      <c r="A79" s="225">
        <v>42</v>
      </c>
      <c r="B79" s="495" t="s">
        <v>219</v>
      </c>
      <c r="C79" s="282" t="s">
        <v>239</v>
      </c>
      <c r="D79" s="616" t="s">
        <v>56</v>
      </c>
      <c r="E79" s="616" t="s">
        <v>576</v>
      </c>
      <c r="F79" s="616"/>
      <c r="G79" s="616" t="s">
        <v>430</v>
      </c>
      <c r="H79" s="552" t="s">
        <v>223</v>
      </c>
      <c r="I79" s="284" t="s">
        <v>221</v>
      </c>
      <c r="J79" s="503" t="s">
        <v>30</v>
      </c>
      <c r="K79" s="284">
        <v>8000000</v>
      </c>
      <c r="L79" s="284"/>
      <c r="M79" s="290" t="s">
        <v>98</v>
      </c>
      <c r="N79" s="284"/>
      <c r="O79" s="284"/>
      <c r="P79" s="286">
        <f>L79-N79</f>
        <v>0</v>
      </c>
      <c r="Q79" s="291" t="s">
        <v>222</v>
      </c>
      <c r="R79" s="369" t="s">
        <v>428</v>
      </c>
      <c r="T79" s="2"/>
    </row>
    <row r="80" spans="1:20" ht="79.5" customHeight="1" outlineLevel="1" x14ac:dyDescent="0.25">
      <c r="A80" s="498">
        <v>43</v>
      </c>
      <c r="B80" s="566" t="s">
        <v>274</v>
      </c>
      <c r="C80" s="500" t="s">
        <v>357</v>
      </c>
      <c r="D80" s="616" t="s">
        <v>52</v>
      </c>
      <c r="E80" s="616" t="s">
        <v>565</v>
      </c>
      <c r="F80" s="616"/>
      <c r="G80" s="616" t="s">
        <v>430</v>
      </c>
      <c r="H80" s="501" t="s">
        <v>275</v>
      </c>
      <c r="I80" s="500" t="s">
        <v>358</v>
      </c>
      <c r="J80" s="503" t="s">
        <v>30</v>
      </c>
      <c r="K80" s="284">
        <v>5500000</v>
      </c>
      <c r="L80" s="284">
        <f>1384955.78+492272.39+301757.1+219245.55+25340.75+40551.45+228066.75+500000</f>
        <v>3192189.77</v>
      </c>
      <c r="M80" s="290" t="s">
        <v>98</v>
      </c>
      <c r="N80" s="284"/>
      <c r="O80" s="284"/>
      <c r="P80" s="286">
        <f t="shared" ref="P80:P105" si="4">L80-N80</f>
        <v>3192189.77</v>
      </c>
      <c r="Q80" s="291" t="s">
        <v>111</v>
      </c>
      <c r="R80" s="369" t="s">
        <v>433</v>
      </c>
      <c r="T80" s="2"/>
    </row>
    <row r="81" spans="1:20" ht="99" customHeight="1" outlineLevel="1" x14ac:dyDescent="0.25">
      <c r="A81" s="506"/>
      <c r="B81" s="567"/>
      <c r="C81" s="507"/>
      <c r="D81" s="616" t="s">
        <v>414</v>
      </c>
      <c r="E81" s="616" t="s">
        <v>565</v>
      </c>
      <c r="F81" s="616"/>
      <c r="G81" s="616" t="s">
        <v>431</v>
      </c>
      <c r="H81" s="508"/>
      <c r="I81" s="507"/>
      <c r="J81" s="368" t="s">
        <v>51</v>
      </c>
      <c r="K81" s="284">
        <f>92733053.2+20276600+1679251+16492341.9+20399976.4+42969092+26833268.5</f>
        <v>221383583</v>
      </c>
      <c r="L81" s="284">
        <f>92733053.2+20276600+1679251+16492341.9+20399976.4+42969092+26833268.5</f>
        <v>221383583</v>
      </c>
      <c r="M81" s="290"/>
      <c r="N81" s="284"/>
      <c r="O81" s="284"/>
      <c r="P81" s="286">
        <f t="shared" si="4"/>
        <v>221383583</v>
      </c>
      <c r="Q81" s="291"/>
      <c r="R81" s="369" t="s">
        <v>433</v>
      </c>
      <c r="T81" s="2"/>
    </row>
    <row r="82" spans="1:20" ht="80.25" customHeight="1" outlineLevel="1" x14ac:dyDescent="0.25">
      <c r="A82" s="225">
        <v>44</v>
      </c>
      <c r="B82" s="495" t="s">
        <v>74</v>
      </c>
      <c r="C82" s="282" t="s">
        <v>129</v>
      </c>
      <c r="D82" s="282" t="s">
        <v>414</v>
      </c>
      <c r="E82" s="282" t="s">
        <v>507</v>
      </c>
      <c r="F82" s="552" t="s">
        <v>68</v>
      </c>
      <c r="G82" s="368" t="s">
        <v>405</v>
      </c>
      <c r="H82" s="552"/>
      <c r="I82" s="284" t="s">
        <v>224</v>
      </c>
      <c r="J82" s="368" t="s">
        <v>51</v>
      </c>
      <c r="K82" s="284">
        <v>249300000</v>
      </c>
      <c r="L82" s="284">
        <v>249300000</v>
      </c>
      <c r="M82" s="565">
        <v>1E-3</v>
      </c>
      <c r="N82" s="284">
        <f>42881892.9</f>
        <v>42881892.899999999</v>
      </c>
      <c r="O82" s="284">
        <f>528153.5</f>
        <v>528153.5</v>
      </c>
      <c r="P82" s="286">
        <f t="shared" si="4"/>
        <v>206418107.09999999</v>
      </c>
      <c r="Q82" s="291" t="s">
        <v>111</v>
      </c>
      <c r="R82" s="369" t="s">
        <v>428</v>
      </c>
      <c r="T82" s="2"/>
    </row>
    <row r="83" spans="1:20" ht="148.5" outlineLevel="1" x14ac:dyDescent="0.25">
      <c r="A83" s="225">
        <v>45</v>
      </c>
      <c r="B83" s="499" t="s">
        <v>192</v>
      </c>
      <c r="C83" s="553" t="s">
        <v>193</v>
      </c>
      <c r="D83" s="616" t="s">
        <v>52</v>
      </c>
      <c r="E83" s="616" t="s">
        <v>468</v>
      </c>
      <c r="F83" s="616" t="s">
        <v>508</v>
      </c>
      <c r="G83" s="616" t="s">
        <v>430</v>
      </c>
      <c r="H83" s="617" t="s">
        <v>509</v>
      </c>
      <c r="I83" s="619" t="s">
        <v>195</v>
      </c>
      <c r="J83" s="503" t="s">
        <v>26</v>
      </c>
      <c r="K83" s="284">
        <v>4000000</v>
      </c>
      <c r="L83" s="284">
        <v>1325350.5999999999</v>
      </c>
      <c r="M83" s="290" t="s">
        <v>98</v>
      </c>
      <c r="N83" s="284">
        <f>465353.9+34986668/397.71+41212635/391.46+40758842/387.15+219500300/390.94</f>
        <v>1325350.7000158217</v>
      </c>
      <c r="O83" s="284">
        <f>188098.2+7483550/397.71+8032446/391.46+5274803/387.15+8236793/390.94</f>
        <v>262127.90085095167</v>
      </c>
      <c r="P83" s="585">
        <f>L83-N83</f>
        <v>-0.10001582186669111</v>
      </c>
      <c r="Q83" s="553" t="s">
        <v>304</v>
      </c>
      <c r="R83" s="370" t="s">
        <v>428</v>
      </c>
      <c r="T83" s="2"/>
    </row>
    <row r="84" spans="1:20" ht="52.5" customHeight="1" outlineLevel="1" x14ac:dyDescent="0.25">
      <c r="A84" s="225"/>
      <c r="B84" s="499" t="s">
        <v>492</v>
      </c>
      <c r="C84" s="553" t="s">
        <v>495</v>
      </c>
      <c r="D84" s="616" t="s">
        <v>414</v>
      </c>
      <c r="E84" s="616" t="s">
        <v>510</v>
      </c>
      <c r="F84" s="616" t="s">
        <v>493</v>
      </c>
      <c r="G84" s="616" t="s">
        <v>405</v>
      </c>
      <c r="H84" s="617"/>
      <c r="I84" s="619" t="s">
        <v>494</v>
      </c>
      <c r="J84" s="503" t="s">
        <v>51</v>
      </c>
      <c r="K84" s="284">
        <v>866493700</v>
      </c>
      <c r="L84" s="284">
        <v>866493700</v>
      </c>
      <c r="M84" s="290">
        <v>7.6600000000000001E-2</v>
      </c>
      <c r="N84" s="284"/>
      <c r="O84" s="284"/>
      <c r="P84" s="585">
        <f>L84-N84</f>
        <v>866493700</v>
      </c>
      <c r="Q84" s="288" t="s">
        <v>111</v>
      </c>
      <c r="R84" s="370" t="s">
        <v>428</v>
      </c>
      <c r="T84" s="2"/>
    </row>
    <row r="85" spans="1:20" s="215" customFormat="1" ht="40.5" outlineLevel="1" x14ac:dyDescent="0.25">
      <c r="A85" s="225">
        <v>46</v>
      </c>
      <c r="B85" s="495" t="s">
        <v>163</v>
      </c>
      <c r="C85" s="282" t="s">
        <v>101</v>
      </c>
      <c r="D85" s="368" t="s">
        <v>417</v>
      </c>
      <c r="E85" s="368" t="s">
        <v>513</v>
      </c>
      <c r="F85" s="368" t="s">
        <v>109</v>
      </c>
      <c r="G85" s="368" t="s">
        <v>405</v>
      </c>
      <c r="H85" s="368"/>
      <c r="I85" s="368" t="s">
        <v>393</v>
      </c>
      <c r="J85" s="368" t="s">
        <v>51</v>
      </c>
      <c r="K85" s="516">
        <v>50600000</v>
      </c>
      <c r="L85" s="284">
        <v>50600000</v>
      </c>
      <c r="M85" s="495" t="s">
        <v>110</v>
      </c>
      <c r="N85" s="284"/>
      <c r="O85" s="284"/>
      <c r="P85" s="516">
        <f t="shared" si="4"/>
        <v>50600000</v>
      </c>
      <c r="Q85" s="291" t="s">
        <v>111</v>
      </c>
      <c r="R85" s="369" t="s">
        <v>433</v>
      </c>
      <c r="S85" s="214"/>
      <c r="T85" s="2"/>
    </row>
    <row r="86" spans="1:20" s="215" customFormat="1" ht="40.5" customHeight="1" outlineLevel="1" x14ac:dyDescent="0.25">
      <c r="A86" s="225">
        <v>47</v>
      </c>
      <c r="B86" s="495" t="s">
        <v>163</v>
      </c>
      <c r="C86" s="282" t="s">
        <v>101</v>
      </c>
      <c r="D86" s="368" t="s">
        <v>417</v>
      </c>
      <c r="E86" s="368" t="s">
        <v>514</v>
      </c>
      <c r="F86" s="368" t="s">
        <v>112</v>
      </c>
      <c r="G86" s="368" t="s">
        <v>405</v>
      </c>
      <c r="H86" s="368"/>
      <c r="I86" s="368" t="s">
        <v>394</v>
      </c>
      <c r="J86" s="282" t="s">
        <v>51</v>
      </c>
      <c r="K86" s="516">
        <v>1100000000</v>
      </c>
      <c r="L86" s="284">
        <v>1100000000</v>
      </c>
      <c r="M86" s="495" t="s">
        <v>110</v>
      </c>
      <c r="N86" s="284"/>
      <c r="O86" s="284"/>
      <c r="P86" s="516">
        <f t="shared" si="4"/>
        <v>1100000000</v>
      </c>
      <c r="Q86" s="566" t="s">
        <v>379</v>
      </c>
      <c r="R86" s="369" t="s">
        <v>433</v>
      </c>
      <c r="S86" s="214"/>
      <c r="T86" s="2"/>
    </row>
    <row r="87" spans="1:20" s="215" customFormat="1" ht="40.5" outlineLevel="1" x14ac:dyDescent="0.25">
      <c r="A87" s="225">
        <v>48</v>
      </c>
      <c r="B87" s="495" t="s">
        <v>163</v>
      </c>
      <c r="C87" s="282" t="s">
        <v>101</v>
      </c>
      <c r="D87" s="368" t="s">
        <v>417</v>
      </c>
      <c r="E87" s="368" t="s">
        <v>515</v>
      </c>
      <c r="F87" s="368" t="s">
        <v>113</v>
      </c>
      <c r="G87" s="368" t="s">
        <v>405</v>
      </c>
      <c r="H87" s="368"/>
      <c r="I87" s="368" t="s">
        <v>395</v>
      </c>
      <c r="J87" s="282" t="s">
        <v>51</v>
      </c>
      <c r="K87" s="516">
        <v>792386600</v>
      </c>
      <c r="L87" s="284">
        <v>791031693</v>
      </c>
      <c r="M87" s="495" t="s">
        <v>110</v>
      </c>
      <c r="N87" s="284"/>
      <c r="O87" s="284"/>
      <c r="P87" s="516">
        <f t="shared" si="4"/>
        <v>791031693</v>
      </c>
      <c r="Q87" s="642"/>
      <c r="R87" s="369" t="s">
        <v>433</v>
      </c>
      <c r="S87" s="214"/>
      <c r="T87" s="2"/>
    </row>
    <row r="88" spans="1:20" s="215" customFormat="1" ht="40.5" outlineLevel="1" x14ac:dyDescent="0.25">
      <c r="A88" s="225">
        <v>49</v>
      </c>
      <c r="B88" s="495" t="s">
        <v>163</v>
      </c>
      <c r="C88" s="282" t="s">
        <v>101</v>
      </c>
      <c r="D88" s="368" t="s">
        <v>417</v>
      </c>
      <c r="E88" s="368" t="s">
        <v>566</v>
      </c>
      <c r="F88" s="368" t="s">
        <v>148</v>
      </c>
      <c r="G88" s="368" t="s">
        <v>405</v>
      </c>
      <c r="H88" s="368"/>
      <c r="I88" s="368" t="s">
        <v>396</v>
      </c>
      <c r="J88" s="282" t="s">
        <v>51</v>
      </c>
      <c r="K88" s="516">
        <v>254672300</v>
      </c>
      <c r="L88" s="284">
        <f>168444408+75498000+5196300+5196300</f>
        <v>254335008</v>
      </c>
      <c r="M88" s="495" t="s">
        <v>110</v>
      </c>
      <c r="N88" s="284"/>
      <c r="O88" s="284"/>
      <c r="P88" s="516">
        <f t="shared" si="4"/>
        <v>254335008</v>
      </c>
      <c r="Q88" s="567"/>
      <c r="R88" s="369" t="s">
        <v>433</v>
      </c>
      <c r="S88" s="214"/>
      <c r="T88" s="2"/>
    </row>
    <row r="89" spans="1:20" s="215" customFormat="1" ht="40.5" outlineLevel="1" x14ac:dyDescent="0.25">
      <c r="A89" s="225">
        <v>50</v>
      </c>
      <c r="B89" s="495" t="s">
        <v>166</v>
      </c>
      <c r="C89" s="282" t="s">
        <v>101</v>
      </c>
      <c r="D89" s="368" t="s">
        <v>414</v>
      </c>
      <c r="E89" s="368" t="s">
        <v>516</v>
      </c>
      <c r="F89" s="368" t="s">
        <v>167</v>
      </c>
      <c r="G89" s="368" t="s">
        <v>405</v>
      </c>
      <c r="H89" s="368"/>
      <c r="I89" s="368" t="s">
        <v>168</v>
      </c>
      <c r="J89" s="282" t="s">
        <v>51</v>
      </c>
      <c r="K89" s="516">
        <v>88731015</v>
      </c>
      <c r="L89" s="284">
        <v>88731000</v>
      </c>
      <c r="M89" s="514">
        <v>8.5000000000000006E-2</v>
      </c>
      <c r="N89" s="284">
        <f>88731000</f>
        <v>88731000</v>
      </c>
      <c r="O89" s="284">
        <f>1591081+30000000</f>
        <v>31591081</v>
      </c>
      <c r="P89" s="516">
        <f t="shared" si="4"/>
        <v>0</v>
      </c>
      <c r="Q89" s="627" t="s">
        <v>169</v>
      </c>
      <c r="R89" s="628" t="s">
        <v>433</v>
      </c>
      <c r="S89" s="214"/>
      <c r="T89" s="2"/>
    </row>
    <row r="90" spans="1:20" ht="81" outlineLevel="1" x14ac:dyDescent="0.25">
      <c r="A90" s="225">
        <v>51</v>
      </c>
      <c r="B90" s="499" t="s">
        <v>229</v>
      </c>
      <c r="C90" s="553" t="s">
        <v>156</v>
      </c>
      <c r="D90" s="553" t="s">
        <v>8</v>
      </c>
      <c r="E90" s="282" t="s">
        <v>201</v>
      </c>
      <c r="F90" s="282" t="s">
        <v>537</v>
      </c>
      <c r="G90" s="616" t="s">
        <v>538</v>
      </c>
      <c r="H90" s="282"/>
      <c r="I90" s="282" t="s">
        <v>200</v>
      </c>
      <c r="J90" s="282" t="s">
        <v>26</v>
      </c>
      <c r="K90" s="283">
        <v>8944984.0899999999</v>
      </c>
      <c r="L90" s="284">
        <v>8944984.0899999999</v>
      </c>
      <c r="M90" s="643">
        <v>7.4999999999999997E-3</v>
      </c>
      <c r="N90" s="284">
        <f>2425758.4+151609.9+151609.9+151609.9+151609.9</f>
        <v>3032197.9999999995</v>
      </c>
      <c r="O90" s="284">
        <f>881276.03+25084.35+24380.12+23943.98+23373.89+22803.79</f>
        <v>1000862.16</v>
      </c>
      <c r="P90" s="286">
        <f t="shared" si="4"/>
        <v>5912786.0899999999</v>
      </c>
      <c r="Q90" s="288" t="s">
        <v>111</v>
      </c>
      <c r="R90" s="370" t="s">
        <v>428</v>
      </c>
      <c r="T90" s="2"/>
    </row>
    <row r="91" spans="1:20" ht="55.5" customHeight="1" outlineLevel="1" x14ac:dyDescent="0.25">
      <c r="A91" s="498">
        <v>52</v>
      </c>
      <c r="B91" s="566" t="s">
        <v>230</v>
      </c>
      <c r="C91" s="500" t="s">
        <v>156</v>
      </c>
      <c r="D91" s="500" t="s">
        <v>8</v>
      </c>
      <c r="E91" s="500" t="s">
        <v>202</v>
      </c>
      <c r="F91" s="500" t="s">
        <v>202</v>
      </c>
      <c r="G91" s="616" t="s">
        <v>538</v>
      </c>
      <c r="H91" s="500"/>
      <c r="I91" s="282" t="s">
        <v>203</v>
      </c>
      <c r="J91" s="282" t="s">
        <v>26</v>
      </c>
      <c r="K91" s="283">
        <v>5217725</v>
      </c>
      <c r="L91" s="284">
        <v>5217725</v>
      </c>
      <c r="M91" s="643">
        <v>7.4999999999999997E-3</v>
      </c>
      <c r="N91" s="284">
        <f>782658.5+52177.25+52177.25+52177.25+52177.25</f>
        <v>991367.5</v>
      </c>
      <c r="O91" s="284">
        <f>538816.19+16480.36+16284.66+16088.46</f>
        <v>587669.66999999993</v>
      </c>
      <c r="P91" s="286">
        <f t="shared" si="4"/>
        <v>4226357.5</v>
      </c>
      <c r="Q91" s="500" t="s">
        <v>111</v>
      </c>
      <c r="R91" s="369" t="s">
        <v>428</v>
      </c>
      <c r="T91" s="2"/>
    </row>
    <row r="92" spans="1:20" ht="55.5" customHeight="1" outlineLevel="1" x14ac:dyDescent="0.25">
      <c r="A92" s="506"/>
      <c r="B92" s="567"/>
      <c r="C92" s="507"/>
      <c r="D92" s="507"/>
      <c r="E92" s="507"/>
      <c r="F92" s="507"/>
      <c r="G92" s="616" t="s">
        <v>538</v>
      </c>
      <c r="H92" s="507"/>
      <c r="I92" s="282" t="s">
        <v>203</v>
      </c>
      <c r="J92" s="282" t="s">
        <v>51</v>
      </c>
      <c r="K92" s="283">
        <v>93025000</v>
      </c>
      <c r="L92" s="284">
        <v>93025000</v>
      </c>
      <c r="M92" s="643">
        <v>7.4999999999999997E-3</v>
      </c>
      <c r="N92" s="284">
        <f>13953750+930250+930250+930250+930250</f>
        <v>17674750</v>
      </c>
      <c r="O92" s="284">
        <f>9237334.28+296030+287830+287830</f>
        <v>10109024.279999999</v>
      </c>
      <c r="P92" s="286">
        <f t="shared" si="4"/>
        <v>75350250</v>
      </c>
      <c r="Q92" s="507"/>
      <c r="R92" s="644" t="s">
        <v>428</v>
      </c>
      <c r="T92" s="2"/>
    </row>
    <row r="93" spans="1:20" ht="81" outlineLevel="1" x14ac:dyDescent="0.25">
      <c r="A93" s="225">
        <v>53</v>
      </c>
      <c r="B93" s="499" t="s">
        <v>232</v>
      </c>
      <c r="C93" s="553" t="s">
        <v>156</v>
      </c>
      <c r="D93" s="553" t="s">
        <v>8</v>
      </c>
      <c r="E93" s="282" t="s">
        <v>204</v>
      </c>
      <c r="F93" s="282" t="s">
        <v>204</v>
      </c>
      <c r="G93" s="616" t="s">
        <v>538</v>
      </c>
      <c r="H93" s="282"/>
      <c r="I93" s="282" t="s">
        <v>205</v>
      </c>
      <c r="J93" s="282" t="s">
        <v>26</v>
      </c>
      <c r="K93" s="283">
        <v>1989000</v>
      </c>
      <c r="L93" s="284">
        <v>1989000</v>
      </c>
      <c r="M93" s="643">
        <v>7.4999999999999997E-3</v>
      </c>
      <c r="N93" s="284">
        <f>337118.7+33711.86+33711.86+33711.86+33712</f>
        <v>471966.27999999997</v>
      </c>
      <c r="O93" s="284">
        <f>177150.18+6084.76+5957.99+5831.23</f>
        <v>195024.16</v>
      </c>
      <c r="P93" s="286">
        <f t="shared" si="4"/>
        <v>1517033.72</v>
      </c>
      <c r="Q93" s="288" t="s">
        <v>111</v>
      </c>
      <c r="R93" s="370" t="s">
        <v>428</v>
      </c>
      <c r="T93" s="2"/>
    </row>
    <row r="94" spans="1:20" ht="100.5" customHeight="1" outlineLevel="1" x14ac:dyDescent="0.25">
      <c r="A94" s="225">
        <v>54</v>
      </c>
      <c r="B94" s="499" t="s">
        <v>383</v>
      </c>
      <c r="C94" s="553" t="s">
        <v>384</v>
      </c>
      <c r="D94" s="553" t="s">
        <v>8</v>
      </c>
      <c r="E94" s="553" t="s">
        <v>385</v>
      </c>
      <c r="F94" s="553" t="s">
        <v>385</v>
      </c>
      <c r="G94" s="616" t="s">
        <v>538</v>
      </c>
      <c r="H94" s="553"/>
      <c r="I94" s="553" t="s">
        <v>386</v>
      </c>
      <c r="J94" s="282" t="s">
        <v>51</v>
      </c>
      <c r="K94" s="283">
        <v>2047212646</v>
      </c>
      <c r="L94" s="619">
        <v>2047212646</v>
      </c>
      <c r="M94" s="643">
        <v>0.02</v>
      </c>
      <c r="N94" s="284">
        <v>0</v>
      </c>
      <c r="O94" s="284">
        <f>88017538.4+20640391+20640391+20303862+20640391</f>
        <v>170242573.40000001</v>
      </c>
      <c r="P94" s="286">
        <f t="shared" si="4"/>
        <v>2047212646</v>
      </c>
      <c r="Q94" s="288" t="s">
        <v>111</v>
      </c>
      <c r="R94" s="370" t="s">
        <v>428</v>
      </c>
      <c r="T94" s="2"/>
    </row>
    <row r="95" spans="1:20" ht="144" customHeight="1" outlineLevel="1" x14ac:dyDescent="0.25">
      <c r="A95" s="575">
        <v>55</v>
      </c>
      <c r="B95" s="499" t="s">
        <v>225</v>
      </c>
      <c r="C95" s="553" t="s">
        <v>226</v>
      </c>
      <c r="D95" s="553" t="s">
        <v>106</v>
      </c>
      <c r="E95" s="553"/>
      <c r="F95" s="553" t="s">
        <v>426</v>
      </c>
      <c r="G95" s="553" t="s">
        <v>405</v>
      </c>
      <c r="H95" s="553"/>
      <c r="I95" s="553" t="s">
        <v>227</v>
      </c>
      <c r="J95" s="282" t="s">
        <v>26</v>
      </c>
      <c r="K95" s="283">
        <v>2217000</v>
      </c>
      <c r="L95" s="283">
        <v>2217000</v>
      </c>
      <c r="M95" s="285">
        <v>0.02</v>
      </c>
      <c r="N95" s="284">
        <f>1656550.78+18166.04+7000680/387.28+18122.86+18122.86+32122.86+28837.1+8000+8000+8000+20000+20000+20000+20000+20000+19994.32+20000+20000+8000+8000+8000+20000</f>
        <v>2017993.3537740142</v>
      </c>
      <c r="O95" s="284">
        <f>133182.536922389+1443.51+1358.52+1365.7+1287.6+1303.23+1287.23+1148.05+1256.99</f>
        <v>143633.36692238902</v>
      </c>
      <c r="P95" s="286">
        <f t="shared" si="4"/>
        <v>199006.64622598584</v>
      </c>
      <c r="Q95" s="288" t="s">
        <v>228</v>
      </c>
      <c r="R95" s="370" t="s">
        <v>428</v>
      </c>
      <c r="T95" s="2"/>
    </row>
    <row r="96" spans="1:20" ht="128.25" customHeight="1" outlineLevel="1" x14ac:dyDescent="0.25">
      <c r="A96" s="225">
        <v>56</v>
      </c>
      <c r="B96" s="495" t="s">
        <v>387</v>
      </c>
      <c r="C96" s="282" t="s">
        <v>388</v>
      </c>
      <c r="D96" s="282" t="s">
        <v>52</v>
      </c>
      <c r="E96" s="282" t="s">
        <v>468</v>
      </c>
      <c r="F96" s="282" t="s">
        <v>517</v>
      </c>
      <c r="G96" s="368" t="s">
        <v>430</v>
      </c>
      <c r="H96" s="282" t="s">
        <v>518</v>
      </c>
      <c r="I96" s="553" t="s">
        <v>398</v>
      </c>
      <c r="J96" s="282" t="s">
        <v>30</v>
      </c>
      <c r="K96" s="283">
        <f>4199559.68+12720691.2+1113060.48+1966688.64</f>
        <v>20000000</v>
      </c>
      <c r="L96" s="283">
        <f>K96</f>
        <v>20000000</v>
      </c>
      <c r="M96" s="285" t="s">
        <v>390</v>
      </c>
      <c r="N96" s="284"/>
      <c r="O96" s="645">
        <f>77849.88+103888.1+413918.01+520635+494848.41+410713.32</f>
        <v>2021852.72</v>
      </c>
      <c r="P96" s="286">
        <f t="shared" si="4"/>
        <v>20000000</v>
      </c>
      <c r="Q96" s="288" t="s">
        <v>392</v>
      </c>
      <c r="R96" s="369" t="s">
        <v>428</v>
      </c>
      <c r="T96" s="2"/>
    </row>
    <row r="97" spans="1:20" s="6" customFormat="1" ht="75" customHeight="1" outlineLevel="1" x14ac:dyDescent="0.25">
      <c r="A97" s="575"/>
      <c r="B97" s="499" t="s">
        <v>474</v>
      </c>
      <c r="C97" s="553" t="s">
        <v>558</v>
      </c>
      <c r="D97" s="282" t="s">
        <v>414</v>
      </c>
      <c r="E97" s="282" t="s">
        <v>557</v>
      </c>
      <c r="F97" s="282" t="s">
        <v>479</v>
      </c>
      <c r="G97" s="368" t="s">
        <v>405</v>
      </c>
      <c r="H97" s="282"/>
      <c r="I97" s="282" t="s">
        <v>484</v>
      </c>
      <c r="J97" s="282" t="s">
        <v>51</v>
      </c>
      <c r="K97" s="284">
        <v>250000000</v>
      </c>
      <c r="L97" s="284">
        <v>250000000</v>
      </c>
      <c r="M97" s="505" t="s">
        <v>559</v>
      </c>
      <c r="N97" s="619"/>
      <c r="O97" s="619"/>
      <c r="P97" s="585"/>
      <c r="Q97" s="288"/>
      <c r="R97" s="369" t="s">
        <v>433</v>
      </c>
      <c r="S97" s="5"/>
      <c r="T97" s="2"/>
    </row>
    <row r="98" spans="1:20" s="215" customFormat="1" ht="38.25" customHeight="1" outlineLevel="1" x14ac:dyDescent="0.25">
      <c r="A98" s="498">
        <v>57</v>
      </c>
      <c r="B98" s="566" t="s">
        <v>206</v>
      </c>
      <c r="C98" s="500" t="s">
        <v>164</v>
      </c>
      <c r="D98" s="500"/>
      <c r="E98" s="555" t="s">
        <v>207</v>
      </c>
      <c r="F98" s="555" t="s">
        <v>207</v>
      </c>
      <c r="G98" s="368" t="s">
        <v>489</v>
      </c>
      <c r="H98" s="555"/>
      <c r="I98" s="555" t="s">
        <v>208</v>
      </c>
      <c r="J98" s="503" t="s">
        <v>26</v>
      </c>
      <c r="K98" s="516">
        <v>237758.39</v>
      </c>
      <c r="L98" s="284">
        <v>237758.39</v>
      </c>
      <c r="M98" s="565"/>
      <c r="N98" s="284"/>
      <c r="O98" s="284"/>
      <c r="P98" s="516">
        <f t="shared" si="4"/>
        <v>237758.39</v>
      </c>
      <c r="Q98" s="500" t="s">
        <v>111</v>
      </c>
      <c r="R98" s="369" t="s">
        <v>428</v>
      </c>
      <c r="S98" s="214"/>
      <c r="T98" s="2"/>
    </row>
    <row r="99" spans="1:20" s="215" customFormat="1" ht="45" customHeight="1" outlineLevel="1" x14ac:dyDescent="0.25">
      <c r="A99" s="506"/>
      <c r="B99" s="567"/>
      <c r="C99" s="507"/>
      <c r="D99" s="507"/>
      <c r="E99" s="557"/>
      <c r="F99" s="557"/>
      <c r="G99" s="368" t="s">
        <v>489</v>
      </c>
      <c r="H99" s="557"/>
      <c r="I99" s="557"/>
      <c r="J99" s="618" t="s">
        <v>51</v>
      </c>
      <c r="K99" s="647">
        <v>28883700</v>
      </c>
      <c r="L99" s="284">
        <v>28883700</v>
      </c>
      <c r="M99" s="505"/>
      <c r="N99" s="284"/>
      <c r="O99" s="284"/>
      <c r="P99" s="516">
        <f t="shared" si="4"/>
        <v>28883700</v>
      </c>
      <c r="Q99" s="507"/>
      <c r="R99" s="518" t="s">
        <v>428</v>
      </c>
      <c r="S99" s="214"/>
      <c r="T99" s="2"/>
    </row>
    <row r="100" spans="1:20" s="6" customFormat="1" ht="59.25" customHeight="1" outlineLevel="1" x14ac:dyDescent="0.25">
      <c r="A100" s="575">
        <v>58</v>
      </c>
      <c r="B100" s="499" t="s">
        <v>175</v>
      </c>
      <c r="C100" s="553" t="s">
        <v>151</v>
      </c>
      <c r="D100" s="282" t="s">
        <v>414</v>
      </c>
      <c r="E100" s="282"/>
      <c r="F100" s="282" t="s">
        <v>104</v>
      </c>
      <c r="G100" s="368" t="s">
        <v>489</v>
      </c>
      <c r="H100" s="282"/>
      <c r="I100" s="282" t="s">
        <v>105</v>
      </c>
      <c r="J100" s="282" t="s">
        <v>51</v>
      </c>
      <c r="K100" s="284">
        <v>303444194</v>
      </c>
      <c r="L100" s="619">
        <v>303444194</v>
      </c>
      <c r="M100" s="505"/>
      <c r="N100" s="619"/>
      <c r="O100" s="619"/>
      <c r="P100" s="585">
        <f t="shared" si="4"/>
        <v>303444194</v>
      </c>
      <c r="Q100" s="288" t="s">
        <v>111</v>
      </c>
      <c r="R100" s="369" t="s">
        <v>483</v>
      </c>
      <c r="S100" s="5"/>
      <c r="T100" s="2"/>
    </row>
    <row r="101" spans="1:20" s="2" customFormat="1" ht="54.75" customHeight="1" outlineLevel="1" x14ac:dyDescent="0.25">
      <c r="A101" s="575"/>
      <c r="B101" s="499" t="s">
        <v>464</v>
      </c>
      <c r="C101" s="553" t="s">
        <v>151</v>
      </c>
      <c r="D101" s="282" t="s">
        <v>414</v>
      </c>
      <c r="E101" s="282" t="s">
        <v>519</v>
      </c>
      <c r="F101" s="282" t="s">
        <v>466</v>
      </c>
      <c r="G101" s="368" t="s">
        <v>489</v>
      </c>
      <c r="H101" s="282"/>
      <c r="I101" s="282" t="s">
        <v>465</v>
      </c>
      <c r="J101" s="503" t="s">
        <v>51</v>
      </c>
      <c r="K101" s="284">
        <v>29938264</v>
      </c>
      <c r="L101" s="284">
        <v>29938264</v>
      </c>
      <c r="M101" s="556">
        <v>0</v>
      </c>
      <c r="N101" s="284">
        <f>9000000+1000000+1000000+800000+200000+1000000+1000000+1000000+1000000</f>
        <v>16000000</v>
      </c>
      <c r="O101" s="284"/>
      <c r="P101" s="585">
        <f t="shared" si="4"/>
        <v>13938264</v>
      </c>
      <c r="Q101" s="288" t="s">
        <v>111</v>
      </c>
      <c r="R101" s="518" t="s">
        <v>428</v>
      </c>
      <c r="S101" s="10"/>
    </row>
    <row r="102" spans="1:20" s="2" customFormat="1" ht="116.25" customHeight="1" outlineLevel="1" x14ac:dyDescent="0.25">
      <c r="A102" s="575"/>
      <c r="B102" s="499" t="s">
        <v>467</v>
      </c>
      <c r="C102" s="553" t="s">
        <v>556</v>
      </c>
      <c r="D102" s="282" t="s">
        <v>414</v>
      </c>
      <c r="E102" s="282" t="s">
        <v>511</v>
      </c>
      <c r="F102" s="282" t="s">
        <v>480</v>
      </c>
      <c r="G102" s="368" t="s">
        <v>405</v>
      </c>
      <c r="H102" s="282"/>
      <c r="I102" s="282" t="s">
        <v>481</v>
      </c>
      <c r="J102" s="503" t="s">
        <v>51</v>
      </c>
      <c r="K102" s="284">
        <v>1343651100</v>
      </c>
      <c r="L102" s="284">
        <v>1343651100</v>
      </c>
      <c r="M102" s="556">
        <v>7.2499999999999995E-2</v>
      </c>
      <c r="N102" s="284"/>
      <c r="O102" s="284"/>
      <c r="P102" s="585">
        <f t="shared" si="4"/>
        <v>1343651100</v>
      </c>
      <c r="Q102" s="288" t="s">
        <v>111</v>
      </c>
      <c r="R102" s="518" t="s">
        <v>433</v>
      </c>
      <c r="S102" s="10"/>
    </row>
    <row r="103" spans="1:20" ht="82.5" customHeight="1" x14ac:dyDescent="0.25">
      <c r="A103" s="225">
        <v>59</v>
      </c>
      <c r="B103" s="495" t="s">
        <v>404</v>
      </c>
      <c r="C103" s="282" t="s">
        <v>405</v>
      </c>
      <c r="D103" s="282" t="s">
        <v>414</v>
      </c>
      <c r="E103" s="282"/>
      <c r="F103" s="282" t="s">
        <v>406</v>
      </c>
      <c r="G103" s="282" t="s">
        <v>405</v>
      </c>
      <c r="H103" s="282"/>
      <c r="I103" s="282" t="s">
        <v>407</v>
      </c>
      <c r="J103" s="282" t="s">
        <v>51</v>
      </c>
      <c r="K103" s="284">
        <v>1600000000</v>
      </c>
      <c r="L103" s="497">
        <v>1600000000</v>
      </c>
      <c r="M103" s="514">
        <v>0.06</v>
      </c>
      <c r="N103" s="497">
        <f>16666667+16666667</f>
        <v>33333334</v>
      </c>
      <c r="O103" s="497">
        <f>14728767+7827397</f>
        <v>22556164</v>
      </c>
      <c r="P103" s="516">
        <f t="shared" si="4"/>
        <v>1566666666</v>
      </c>
      <c r="Q103" s="282" t="s">
        <v>408</v>
      </c>
      <c r="R103" s="369" t="s">
        <v>433</v>
      </c>
      <c r="T103" s="2"/>
    </row>
    <row r="104" spans="1:20" ht="155.25" customHeight="1" x14ac:dyDescent="0.25">
      <c r="A104" s="511">
        <v>60</v>
      </c>
      <c r="B104" s="512" t="s">
        <v>422</v>
      </c>
      <c r="C104" s="282" t="s">
        <v>405</v>
      </c>
      <c r="D104" s="282" t="s">
        <v>414</v>
      </c>
      <c r="E104" s="282" t="s">
        <v>567</v>
      </c>
      <c r="F104" s="367" t="s">
        <v>486</v>
      </c>
      <c r="G104" s="513" t="s">
        <v>405</v>
      </c>
      <c r="H104" s="367"/>
      <c r="I104" s="282" t="s">
        <v>423</v>
      </c>
      <c r="J104" s="282" t="s">
        <v>51</v>
      </c>
      <c r="K104" s="287">
        <v>3500000000</v>
      </c>
      <c r="L104" s="287">
        <v>3500000000</v>
      </c>
      <c r="M104" s="514">
        <v>0.08</v>
      </c>
      <c r="N104" s="515"/>
      <c r="O104" s="515"/>
      <c r="P104" s="516">
        <f t="shared" si="4"/>
        <v>3500000000</v>
      </c>
      <c r="Q104" s="517" t="s">
        <v>424</v>
      </c>
      <c r="R104" s="518" t="s">
        <v>428</v>
      </c>
      <c r="T104" s="2"/>
    </row>
    <row r="105" spans="1:20" s="6" customFormat="1" ht="47.25" customHeight="1" outlineLevel="1" x14ac:dyDescent="0.25">
      <c r="A105" s="511">
        <v>61</v>
      </c>
      <c r="B105" s="367" t="s">
        <v>425</v>
      </c>
      <c r="C105" s="367" t="s">
        <v>405</v>
      </c>
      <c r="D105" s="367" t="s">
        <v>414</v>
      </c>
      <c r="E105" s="367" t="s">
        <v>568</v>
      </c>
      <c r="F105" s="367" t="s">
        <v>569</v>
      </c>
      <c r="G105" s="513" t="s">
        <v>405</v>
      </c>
      <c r="H105" s="519"/>
      <c r="I105" s="367" t="s">
        <v>242</v>
      </c>
      <c r="J105" s="367" t="s">
        <v>51</v>
      </c>
      <c r="K105" s="287">
        <v>2000000000</v>
      </c>
      <c r="L105" s="287">
        <v>2000000000</v>
      </c>
      <c r="M105" s="520">
        <v>1E-4</v>
      </c>
      <c r="N105" s="287">
        <f>122220000+82500000+82500000+165000000</f>
        <v>452220000</v>
      </c>
      <c r="O105" s="287">
        <f>175890.410958904+56590.6+7869.7+22525</f>
        <v>262875.710958904</v>
      </c>
      <c r="P105" s="521">
        <f t="shared" si="4"/>
        <v>1547780000</v>
      </c>
      <c r="Q105" s="517" t="s">
        <v>411</v>
      </c>
      <c r="R105" s="518" t="s">
        <v>428</v>
      </c>
      <c r="S105" s="5"/>
      <c r="T105" s="2"/>
    </row>
    <row r="106" spans="1:20" s="6" customFormat="1" ht="47.25" customHeight="1" outlineLevel="1" x14ac:dyDescent="0.25">
      <c r="A106" s="511">
        <v>62</v>
      </c>
      <c r="B106" s="367" t="s">
        <v>149</v>
      </c>
      <c r="C106" s="367" t="s">
        <v>150</v>
      </c>
      <c r="D106" s="367" t="s">
        <v>418</v>
      </c>
      <c r="E106" s="367" t="s">
        <v>572</v>
      </c>
      <c r="F106" s="367" t="s">
        <v>573</v>
      </c>
      <c r="G106" s="513" t="s">
        <v>405</v>
      </c>
      <c r="H106" s="519"/>
      <c r="I106" s="367" t="s">
        <v>331</v>
      </c>
      <c r="J106" s="367" t="s">
        <v>26</v>
      </c>
      <c r="K106" s="287">
        <v>10000000</v>
      </c>
      <c r="L106" s="287">
        <v>10000000</v>
      </c>
      <c r="M106" s="520" t="s">
        <v>333</v>
      </c>
      <c r="N106" s="287">
        <f>2553676.86+827369+326463360/394.58</f>
        <v>4208415.1133833444</v>
      </c>
      <c r="O106" s="287">
        <f>4401844.92047069+51518733/394.58</f>
        <v>4532410.9222954158</v>
      </c>
      <c r="P106" s="521">
        <f>L106-N106</f>
        <v>5791584.8866166556</v>
      </c>
      <c r="Q106" s="517" t="s">
        <v>303</v>
      </c>
      <c r="R106" s="518" t="s">
        <v>428</v>
      </c>
      <c r="S106" s="5"/>
      <c r="T106" s="2"/>
    </row>
    <row r="107" spans="1:20" s="6" customFormat="1" ht="51" customHeight="1" outlineLevel="1" thickBot="1" x14ac:dyDescent="0.3">
      <c r="A107" s="225">
        <v>63</v>
      </c>
      <c r="B107" s="282" t="s">
        <v>149</v>
      </c>
      <c r="C107" s="522" t="s">
        <v>434</v>
      </c>
      <c r="D107" s="522" t="s">
        <v>418</v>
      </c>
      <c r="E107" s="522" t="s">
        <v>570</v>
      </c>
      <c r="F107" s="367" t="s">
        <v>571</v>
      </c>
      <c r="G107" s="367" t="s">
        <v>209</v>
      </c>
      <c r="H107" s="513"/>
      <c r="I107" s="522" t="s">
        <v>302</v>
      </c>
      <c r="J107" s="522" t="s">
        <v>51</v>
      </c>
      <c r="K107" s="284">
        <v>8000000000</v>
      </c>
      <c r="L107" s="284">
        <v>8000000000</v>
      </c>
      <c r="M107" s="290" t="s">
        <v>332</v>
      </c>
      <c r="N107" s="284"/>
      <c r="O107" s="284">
        <f>3496438357+79342466+80657534+79342466+79342466+1315069+216021918+419419179+129470822+248100000+35010000</f>
        <v>4864460277</v>
      </c>
      <c r="P107" s="286">
        <f>L107-N107</f>
        <v>8000000000</v>
      </c>
      <c r="Q107" s="291" t="s">
        <v>301</v>
      </c>
      <c r="R107" s="369" t="s">
        <v>428</v>
      </c>
      <c r="S107" s="5"/>
      <c r="T107" s="2"/>
    </row>
    <row r="108" spans="1:20" s="594" customFormat="1" ht="24.75" customHeight="1" x14ac:dyDescent="0.25">
      <c r="A108" s="587" t="s">
        <v>161</v>
      </c>
      <c r="B108" s="588"/>
      <c r="C108" s="589"/>
      <c r="G108" s="639"/>
      <c r="H108" s="639"/>
      <c r="I108" s="639"/>
      <c r="J108" s="639" t="s">
        <v>30</v>
      </c>
      <c r="K108" s="625">
        <f>SUMIF($J$77:$J$107,J108,$K$77:$K$107)</f>
        <v>41500000</v>
      </c>
      <c r="L108" s="625">
        <f>SUMIF($J$77:$J$107,J108,$L$77:$L$107)</f>
        <v>23272189.77</v>
      </c>
      <c r="M108" s="625"/>
      <c r="N108" s="625">
        <f>SUMIF($J$77:$J$107,J108,$N$77:$N$107)</f>
        <v>39996.621703756209</v>
      </c>
      <c r="O108" s="625">
        <f>SUMIF($J$77:$J$107,J108,$O$77:$O$107)</f>
        <v>2241952.6998881819</v>
      </c>
      <c r="P108" s="625">
        <f>SUMIF($J$77:$J$107,J108,$P$77:$P$107)</f>
        <v>23232193.148296244</v>
      </c>
      <c r="Q108" s="592"/>
      <c r="R108" s="593"/>
      <c r="S108" s="10"/>
      <c r="T108" s="2"/>
    </row>
    <row r="109" spans="1:20" s="594" customFormat="1" ht="39" customHeight="1" x14ac:dyDescent="0.25">
      <c r="A109" s="595"/>
      <c r="B109" s="596"/>
      <c r="C109" s="597"/>
      <c r="D109" s="562"/>
      <c r="E109" s="562"/>
      <c r="F109" s="562"/>
      <c r="G109" s="598"/>
      <c r="H109" s="598"/>
      <c r="I109" s="598"/>
      <c r="J109" s="598" t="s">
        <v>51</v>
      </c>
      <c r="K109" s="599">
        <f>SUMIF($J$77:$J$107,J109,$K$77:$K$107)</f>
        <v>22819722102</v>
      </c>
      <c r="L109" s="599">
        <f>SUMIF($J$77:$J$107,J109,$L$77:$L$107)</f>
        <v>22818029888</v>
      </c>
      <c r="M109" s="599"/>
      <c r="N109" s="599">
        <f>SUMIF($J$77:$J$107,J109,$N$77:$N$107)</f>
        <v>650840976.89999998</v>
      </c>
      <c r="O109" s="599">
        <f>SUMIF($J$77:$J$107,J109,$O$77:$O$107)</f>
        <v>5099750148.8909588</v>
      </c>
      <c r="P109" s="599">
        <f>SUMIF($J$77:$J$107,J109,$P$77:$P$107)</f>
        <v>21917188911.099998</v>
      </c>
      <c r="Q109" s="600"/>
      <c r="R109" s="601"/>
      <c r="S109" s="10"/>
      <c r="T109" s="2"/>
    </row>
    <row r="110" spans="1:20" s="594" customFormat="1" ht="39" customHeight="1" x14ac:dyDescent="0.25">
      <c r="A110" s="595"/>
      <c r="B110" s="596"/>
      <c r="C110" s="597"/>
      <c r="D110" s="562"/>
      <c r="E110" s="562"/>
      <c r="F110" s="562"/>
      <c r="G110" s="598"/>
      <c r="H110" s="598"/>
      <c r="I110" s="598"/>
      <c r="J110" s="598" t="s">
        <v>26</v>
      </c>
      <c r="K110" s="599">
        <f>SUMIF($J$77:$J$107,J110,$K$77:$K$107)</f>
        <v>32967799.48</v>
      </c>
      <c r="L110" s="599">
        <f>SUMIF($J$77:$J$107,J110,$L$77:$L$107)</f>
        <v>30293150.079999998</v>
      </c>
      <c r="M110" s="599"/>
      <c r="N110" s="599">
        <f>SUMIF($J$77:$J$107,J110,$N$77:$N$107)</f>
        <v>12268897.673528012</v>
      </c>
      <c r="O110" s="599">
        <f>SUMIF($J$77:$J$107,J110,$O$77:$O$107)</f>
        <v>6909258.1800687565</v>
      </c>
      <c r="P110" s="599">
        <f>SUMIF($J$77:$J$107,J110,$P$77:$P$107)</f>
        <v>18024252.40647199</v>
      </c>
      <c r="Q110" s="600"/>
      <c r="R110" s="601"/>
      <c r="S110" s="10"/>
      <c r="T110" s="2"/>
    </row>
    <row r="111" spans="1:20" s="594" customFormat="1" ht="39" customHeight="1" thickBot="1" x14ac:dyDescent="0.3">
      <c r="A111" s="606"/>
      <c r="B111" s="607"/>
      <c r="C111" s="608"/>
      <c r="D111" s="626"/>
      <c r="E111" s="626"/>
      <c r="F111" s="626"/>
      <c r="G111" s="609"/>
      <c r="H111" s="609"/>
      <c r="I111" s="609"/>
      <c r="J111" s="609" t="s">
        <v>18</v>
      </c>
      <c r="K111" s="613">
        <f>SUMIF($J$77:$J$107,J111,$K$77:$K$107)</f>
        <v>0</v>
      </c>
      <c r="L111" s="613">
        <f>SUMIF($J$77:$J$107,J111,$L$77:$L$107)</f>
        <v>0</v>
      </c>
      <c r="M111" s="613"/>
      <c r="N111" s="613">
        <f>SUMIF($J$77:$J$107,J111,$N$77:$N$107)</f>
        <v>0</v>
      </c>
      <c r="O111" s="613">
        <f>SUMIF($J$77:$J$107,J111,$O$77:$O$107)</f>
        <v>0</v>
      </c>
      <c r="P111" s="613">
        <f>SUMIF($J$77:$J$107,J111,$P$77:$P$107)</f>
        <v>0</v>
      </c>
      <c r="Q111" s="614"/>
      <c r="R111" s="615"/>
      <c r="S111" s="10"/>
      <c r="T111" s="2"/>
    </row>
    <row r="112" spans="1:20" s="215" customFormat="1" ht="156.75" customHeight="1" outlineLevel="1" x14ac:dyDescent="0.25">
      <c r="A112" s="225">
        <v>64</v>
      </c>
      <c r="B112" s="553" t="s">
        <v>325</v>
      </c>
      <c r="C112" s="553" t="s">
        <v>267</v>
      </c>
      <c r="D112" s="579" t="s">
        <v>414</v>
      </c>
      <c r="E112" s="579"/>
      <c r="F112" s="646" t="s">
        <v>335</v>
      </c>
      <c r="G112" s="646" t="s">
        <v>405</v>
      </c>
      <c r="H112" s="646"/>
      <c r="I112" s="646" t="s">
        <v>348</v>
      </c>
      <c r="J112" s="367" t="s">
        <v>51</v>
      </c>
      <c r="K112" s="647">
        <f>3047000000+3000000000</f>
        <v>6047000000</v>
      </c>
      <c r="L112" s="497">
        <v>6000000000</v>
      </c>
      <c r="M112" s="505"/>
      <c r="N112" s="497">
        <f>4439902959+260956717.5+995441267.7+73262192.2+103703140+88648827.6+23704487.9+9999937.1+167000+1814495.5+405741.8+291594+193389.5+167000</f>
        <v>5998658749.8000002</v>
      </c>
      <c r="O112" s="497"/>
      <c r="P112" s="619">
        <f t="shared" ref="P112:P117" si="5">L112-N112</f>
        <v>1341250.1999998093</v>
      </c>
      <c r="Q112" s="648" t="s">
        <v>111</v>
      </c>
      <c r="R112" s="649" t="s">
        <v>433</v>
      </c>
      <c r="S112" s="214"/>
      <c r="T112" s="2"/>
    </row>
    <row r="113" spans="1:20" s="215" customFormat="1" ht="147" customHeight="1" outlineLevel="1" x14ac:dyDescent="0.25">
      <c r="A113" s="225">
        <v>65</v>
      </c>
      <c r="B113" s="553" t="s">
        <v>325</v>
      </c>
      <c r="C113" s="500" t="s">
        <v>321</v>
      </c>
      <c r="D113" s="553" t="s">
        <v>414</v>
      </c>
      <c r="E113" s="553"/>
      <c r="F113" s="616" t="s">
        <v>421</v>
      </c>
      <c r="G113" s="616" t="s">
        <v>405</v>
      </c>
      <c r="H113" s="616"/>
      <c r="I113" s="616" t="s">
        <v>323</v>
      </c>
      <c r="J113" s="282" t="s">
        <v>51</v>
      </c>
      <c r="K113" s="284">
        <v>2000000000</v>
      </c>
      <c r="L113" s="497">
        <v>2000000000</v>
      </c>
      <c r="M113" s="565">
        <v>2.7E-2</v>
      </c>
      <c r="N113" s="497"/>
      <c r="O113" s="286">
        <f>68417269.8+13462993.2+49643.9+1421840.5+38566246.5+491534.9+1119195.4+178355+29883.2+10588.6+3022.3</f>
        <v>123750573.30000001</v>
      </c>
      <c r="P113" s="286">
        <f t="shared" si="5"/>
        <v>2000000000</v>
      </c>
      <c r="Q113" s="648" t="s">
        <v>111</v>
      </c>
      <c r="R113" s="650" t="s">
        <v>433</v>
      </c>
      <c r="S113" s="214"/>
      <c r="T113" s="2"/>
    </row>
    <row r="114" spans="1:20" s="215" customFormat="1" ht="144.75" customHeight="1" outlineLevel="1" x14ac:dyDescent="0.25">
      <c r="A114" s="225">
        <v>66</v>
      </c>
      <c r="B114" s="553" t="s">
        <v>325</v>
      </c>
      <c r="C114" s="560"/>
      <c r="D114" s="550" t="s">
        <v>414</v>
      </c>
      <c r="E114" s="550"/>
      <c r="F114" s="616" t="s">
        <v>420</v>
      </c>
      <c r="G114" s="368" t="s">
        <v>405</v>
      </c>
      <c r="H114" s="616"/>
      <c r="I114" s="616" t="s">
        <v>324</v>
      </c>
      <c r="J114" s="367" t="s">
        <v>51</v>
      </c>
      <c r="K114" s="284">
        <v>2000000000</v>
      </c>
      <c r="L114" s="497">
        <v>2000000000</v>
      </c>
      <c r="M114" s="651">
        <v>5.7000000000000002E-2</v>
      </c>
      <c r="N114" s="497"/>
      <c r="O114" s="497">
        <f>153819379.6+28421448.8+780809.1+528470.5+2614769.3+283790.1+5159868.8+1406739.9</f>
        <v>193015276.10000002</v>
      </c>
      <c r="P114" s="286">
        <f t="shared" si="5"/>
        <v>2000000000</v>
      </c>
      <c r="Q114" s="648" t="s">
        <v>111</v>
      </c>
      <c r="R114" s="650" t="s">
        <v>433</v>
      </c>
      <c r="S114" s="214"/>
      <c r="T114" s="2"/>
    </row>
    <row r="115" spans="1:20" s="215" customFormat="1" ht="168" customHeight="1" outlineLevel="1" x14ac:dyDescent="0.25">
      <c r="A115" s="225">
        <v>67</v>
      </c>
      <c r="B115" s="548" t="s">
        <v>325</v>
      </c>
      <c r="C115" s="507"/>
      <c r="D115" s="517"/>
      <c r="E115" s="517"/>
      <c r="F115" s="368" t="s">
        <v>419</v>
      </c>
      <c r="G115" s="652" t="s">
        <v>405</v>
      </c>
      <c r="H115" s="368"/>
      <c r="I115" s="368" t="s">
        <v>353</v>
      </c>
      <c r="J115" s="367" t="s">
        <v>51</v>
      </c>
      <c r="K115" s="284">
        <v>5000000000</v>
      </c>
      <c r="L115" s="497">
        <v>5000000000</v>
      </c>
      <c r="M115" s="565">
        <v>2.7E-2</v>
      </c>
      <c r="N115" s="497"/>
      <c r="O115" s="497">
        <f>34209157.5+76580313.4+83507353.3+1840160.7</f>
        <v>196136984.89999998</v>
      </c>
      <c r="P115" s="286">
        <f t="shared" si="5"/>
        <v>5000000000</v>
      </c>
      <c r="Q115" s="627" t="s">
        <v>111</v>
      </c>
      <c r="R115" s="628" t="s">
        <v>433</v>
      </c>
      <c r="S115" s="214"/>
      <c r="T115" s="2"/>
    </row>
    <row r="116" spans="1:20" s="215" customFormat="1" ht="162" outlineLevel="1" x14ac:dyDescent="0.25">
      <c r="A116" s="511">
        <v>68</v>
      </c>
      <c r="B116" s="579" t="s">
        <v>272</v>
      </c>
      <c r="C116" s="579" t="s">
        <v>273</v>
      </c>
      <c r="D116" s="579" t="s">
        <v>414</v>
      </c>
      <c r="E116" s="579"/>
      <c r="F116" s="646" t="s">
        <v>328</v>
      </c>
      <c r="G116" s="646" t="s">
        <v>405</v>
      </c>
      <c r="H116" s="646"/>
      <c r="I116" s="646" t="s">
        <v>327</v>
      </c>
      <c r="J116" s="367" t="s">
        <v>51</v>
      </c>
      <c r="K116" s="287">
        <v>562500000</v>
      </c>
      <c r="L116" s="515">
        <v>562500000</v>
      </c>
      <c r="M116" s="651"/>
      <c r="N116" s="515"/>
      <c r="O116" s="515"/>
      <c r="P116" s="578">
        <f t="shared" si="5"/>
        <v>562500000</v>
      </c>
      <c r="Q116" s="653" t="s">
        <v>111</v>
      </c>
      <c r="R116" s="649" t="s">
        <v>433</v>
      </c>
      <c r="S116" s="214"/>
      <c r="T116" s="2"/>
    </row>
    <row r="117" spans="1:20" s="215" customFormat="1" ht="95.25" outlineLevel="1" thickBot="1" x14ac:dyDescent="0.3">
      <c r="A117" s="630">
        <v>69</v>
      </c>
      <c r="B117" s="522" t="s">
        <v>272</v>
      </c>
      <c r="C117" s="522" t="s">
        <v>326</v>
      </c>
      <c r="D117" s="522" t="s">
        <v>414</v>
      </c>
      <c r="E117" s="522"/>
      <c r="F117" s="523"/>
      <c r="G117" s="523" t="s">
        <v>405</v>
      </c>
      <c r="H117" s="523"/>
      <c r="I117" s="523" t="s">
        <v>401</v>
      </c>
      <c r="J117" s="522" t="s">
        <v>51</v>
      </c>
      <c r="K117" s="634">
        <f>2000000000+7300000000</f>
        <v>9300000000</v>
      </c>
      <c r="L117" s="654">
        <f>9024295000</f>
        <v>9024295000</v>
      </c>
      <c r="M117" s="655"/>
      <c r="N117" s="654">
        <f>140537000+5009140+4849511288.30001+293553946.6+277518975.4+298090130.9+261563425.9+273040297.9+246795505.7+231942835.5+200000+276040115.2+210499563.5+221320560.6+300000+193123482.7+199186343.7+185073611.4+184150969.4+170369357.1+151027787.7+90490766.8+32284422.2+11509122.4+4064002+1861938.3+777853.6+3576579+4160398+1285963+3005301+408727.2+3440908.5+14162695+98148+291594+205919+250000+77038</f>
        <v>8840805713.5000076</v>
      </c>
      <c r="O117" s="654">
        <f>34040214.6+16030636.8+1797857.1+7375602.5+3983531.1+11814600.3+22459610.6+9668538.8+11671711.4+6908264.6+1329981.6</f>
        <v>127080549.39999999</v>
      </c>
      <c r="P117" s="635">
        <f t="shared" si="5"/>
        <v>183489286.49999237</v>
      </c>
      <c r="Q117" s="636" t="s">
        <v>111</v>
      </c>
      <c r="R117" s="637" t="s">
        <v>433</v>
      </c>
      <c r="S117" s="214"/>
      <c r="T117" s="2"/>
    </row>
    <row r="118" spans="1:20" s="594" customFormat="1" ht="30" customHeight="1" x14ac:dyDescent="0.25">
      <c r="A118" s="587" t="s">
        <v>351</v>
      </c>
      <c r="B118" s="588"/>
      <c r="C118" s="589"/>
      <c r="D118" s="638"/>
      <c r="E118" s="638"/>
      <c r="F118" s="638"/>
      <c r="G118" s="639"/>
      <c r="H118" s="639"/>
      <c r="I118" s="639"/>
      <c r="J118" s="656" t="s">
        <v>30</v>
      </c>
      <c r="K118" s="640">
        <f>SUMIF($J$112:$J$117,J118,$K$112:$K$117)</f>
        <v>0</v>
      </c>
      <c r="L118" s="640">
        <f>SUMIF($J$112:$J$117,J118,$L$112:$L$117)</f>
        <v>0</v>
      </c>
      <c r="M118" s="640"/>
      <c r="N118" s="640">
        <f>SUMIF($J$112:$J$117,J118,$N$112:$N$117)</f>
        <v>0</v>
      </c>
      <c r="O118" s="640">
        <f>SUMIF($J$112:$J$117,J118,$O$112:$O$117)</f>
        <v>0</v>
      </c>
      <c r="P118" s="640">
        <f>SUMIF($J$112:$J$117,J118,$P$112:$P$117)</f>
        <v>0</v>
      </c>
      <c r="Q118" s="641"/>
      <c r="R118" s="593"/>
      <c r="S118" s="214"/>
      <c r="T118" s="2"/>
    </row>
    <row r="119" spans="1:20" s="594" customFormat="1" ht="27" customHeight="1" x14ac:dyDescent="0.25">
      <c r="A119" s="595"/>
      <c r="B119" s="596"/>
      <c r="C119" s="597"/>
      <c r="D119" s="562"/>
      <c r="E119" s="562"/>
      <c r="F119" s="562"/>
      <c r="G119" s="598"/>
      <c r="H119" s="598"/>
      <c r="I119" s="598"/>
      <c r="J119" s="657" t="s">
        <v>51</v>
      </c>
      <c r="K119" s="640">
        <f>SUMIF($J$112:$J$117,J119,$K$112:$K$117)</f>
        <v>24909500000</v>
      </c>
      <c r="L119" s="599">
        <f>SUMIF($J$112:$J$117,J119,$L$112:$L$117)</f>
        <v>24586795000</v>
      </c>
      <c r="M119" s="599"/>
      <c r="N119" s="599">
        <f>SUMIF($J$112:$J$117,J119,$N$112:$N$117)</f>
        <v>14839464463.300007</v>
      </c>
      <c r="O119" s="599">
        <f>SUMIF($J$112:$J$117,J119,$O$112:$O$117)</f>
        <v>639983383.70000005</v>
      </c>
      <c r="P119" s="599">
        <f>SUMIF($J$112:$J$117,J119,$P$112:$P$117)</f>
        <v>9747330536.6999931</v>
      </c>
      <c r="Q119" s="600"/>
      <c r="R119" s="601"/>
      <c r="S119" s="214"/>
      <c r="T119" s="2"/>
    </row>
    <row r="120" spans="1:20" s="594" customFormat="1" ht="28.5" customHeight="1" x14ac:dyDescent="0.25">
      <c r="A120" s="595"/>
      <c r="B120" s="596"/>
      <c r="C120" s="597"/>
      <c r="D120" s="562"/>
      <c r="E120" s="562"/>
      <c r="F120" s="562"/>
      <c r="G120" s="598"/>
      <c r="H120" s="598"/>
      <c r="I120" s="598"/>
      <c r="J120" s="657" t="s">
        <v>26</v>
      </c>
      <c r="K120" s="640">
        <f>SUMIF($J$112:$J$117,J120,$K$112:$K$117)</f>
        <v>0</v>
      </c>
      <c r="L120" s="599">
        <f>SUMIF($J$112:$J$117,J120,$L$112:$L$117)</f>
        <v>0</v>
      </c>
      <c r="M120" s="599"/>
      <c r="N120" s="599">
        <f>SUMIF($J$112:$J$117,J120,$N$112:$N$117)</f>
        <v>0</v>
      </c>
      <c r="O120" s="599">
        <f>SUMIF($J$112:$J$117,J120,$O$112:$O$117)</f>
        <v>0</v>
      </c>
      <c r="P120" s="599">
        <f>SUMIF($J$112:$J$117,J120,$P$112:$P$117)</f>
        <v>0</v>
      </c>
      <c r="Q120" s="600"/>
      <c r="R120" s="601"/>
      <c r="S120" s="10"/>
      <c r="T120" s="2"/>
    </row>
    <row r="121" spans="1:20" s="594" customFormat="1" ht="30" customHeight="1" thickBot="1" x14ac:dyDescent="0.3">
      <c r="A121" s="606"/>
      <c r="B121" s="607"/>
      <c r="C121" s="608"/>
      <c r="D121" s="626"/>
      <c r="E121" s="626"/>
      <c r="F121" s="626"/>
      <c r="G121" s="609"/>
      <c r="H121" s="609"/>
      <c r="I121" s="609"/>
      <c r="J121" s="612" t="s">
        <v>18</v>
      </c>
      <c r="K121" s="613">
        <f>SUMIF($J$112:$J$117,J121,$K$112:$K$117)</f>
        <v>0</v>
      </c>
      <c r="L121" s="613">
        <f>SUMIF($J$112:$J$117,J121,$L$112:$L$117)</f>
        <v>0</v>
      </c>
      <c r="M121" s="613"/>
      <c r="N121" s="613">
        <f>SUMIF($J$112:$J$117,J121,$N$112:$N$117)</f>
        <v>0</v>
      </c>
      <c r="O121" s="613">
        <f>SUMIF($J$112:$J$117,J121,$O$112:$O$117)</f>
        <v>0</v>
      </c>
      <c r="P121" s="613">
        <f>SUMIF($J$112:$J$117,J121,$P$112:$P$117)</f>
        <v>0</v>
      </c>
      <c r="Q121" s="614"/>
      <c r="R121" s="615"/>
      <c r="S121" s="10"/>
      <c r="T121" s="2"/>
    </row>
    <row r="122" spans="1:20" s="215" customFormat="1" ht="121.5" outlineLevel="1" x14ac:dyDescent="0.25">
      <c r="A122" s="511">
        <v>70</v>
      </c>
      <c r="B122" s="658" t="s">
        <v>246</v>
      </c>
      <c r="C122" s="658" t="s">
        <v>244</v>
      </c>
      <c r="D122" s="579" t="s">
        <v>414</v>
      </c>
      <c r="E122" s="646" t="s">
        <v>255</v>
      </c>
      <c r="F122" s="579" t="s">
        <v>552</v>
      </c>
      <c r="G122" s="579" t="s">
        <v>405</v>
      </c>
      <c r="H122" s="616"/>
      <c r="I122" s="646" t="s">
        <v>247</v>
      </c>
      <c r="J122" s="282" t="s">
        <v>51</v>
      </c>
      <c r="K122" s="659">
        <v>574491741</v>
      </c>
      <c r="L122" s="659">
        <v>574491741</v>
      </c>
      <c r="M122" s="660">
        <v>1E-4</v>
      </c>
      <c r="N122" s="659">
        <f>132575017.2</f>
        <v>132575017.2</v>
      </c>
      <c r="O122" s="659">
        <f>85623+14165+39966.7</f>
        <v>139754.70000000001</v>
      </c>
      <c r="P122" s="578">
        <f t="shared" ref="P122:P134" si="6">L122-N122</f>
        <v>441916723.80000001</v>
      </c>
      <c r="Q122" s="653" t="s">
        <v>248</v>
      </c>
      <c r="R122" s="661" t="s">
        <v>433</v>
      </c>
      <c r="S122" s="214"/>
      <c r="T122" s="2"/>
    </row>
    <row r="123" spans="1:20" s="215" customFormat="1" ht="108" outlineLevel="1" x14ac:dyDescent="0.25">
      <c r="A123" s="225">
        <v>71</v>
      </c>
      <c r="B123" s="499" t="s">
        <v>249</v>
      </c>
      <c r="C123" s="499" t="s">
        <v>244</v>
      </c>
      <c r="D123" s="553" t="s">
        <v>414</v>
      </c>
      <c r="E123" s="616" t="s">
        <v>256</v>
      </c>
      <c r="F123" s="553" t="s">
        <v>545</v>
      </c>
      <c r="G123" s="553" t="s">
        <v>405</v>
      </c>
      <c r="H123" s="616"/>
      <c r="I123" s="616" t="s">
        <v>250</v>
      </c>
      <c r="J123" s="282" t="s">
        <v>51</v>
      </c>
      <c r="K123" s="647">
        <v>98612371</v>
      </c>
      <c r="L123" s="516">
        <v>98612371</v>
      </c>
      <c r="M123" s="556">
        <v>1E-4</v>
      </c>
      <c r="N123" s="516"/>
      <c r="O123" s="516">
        <v>17060</v>
      </c>
      <c r="P123" s="585">
        <f t="shared" si="6"/>
        <v>98612371</v>
      </c>
      <c r="Q123" s="648" t="s">
        <v>251</v>
      </c>
      <c r="R123" s="628" t="s">
        <v>433</v>
      </c>
      <c r="S123" s="214"/>
      <c r="T123" s="2"/>
    </row>
    <row r="124" spans="1:20" s="215" customFormat="1" ht="108" outlineLevel="1" x14ac:dyDescent="0.25">
      <c r="A124" s="225">
        <v>72</v>
      </c>
      <c r="B124" s="499" t="s">
        <v>252</v>
      </c>
      <c r="C124" s="499" t="s">
        <v>244</v>
      </c>
      <c r="D124" s="553" t="s">
        <v>414</v>
      </c>
      <c r="E124" s="616" t="s">
        <v>257</v>
      </c>
      <c r="F124" s="553" t="s">
        <v>545</v>
      </c>
      <c r="G124" s="553" t="s">
        <v>405</v>
      </c>
      <c r="H124" s="616"/>
      <c r="I124" s="616" t="s">
        <v>280</v>
      </c>
      <c r="J124" s="282" t="s">
        <v>51</v>
      </c>
      <c r="K124" s="647">
        <v>60132468</v>
      </c>
      <c r="L124" s="516">
        <v>60132468</v>
      </c>
      <c r="M124" s="556">
        <v>1E-4</v>
      </c>
      <c r="N124" s="516">
        <f>4625574.5+4625574.5+4625574.5+4625574.5+4625575+4625575+4625575+4625575+4625575+4625575+4625575+4625575</f>
        <v>55506898</v>
      </c>
      <c r="O124" s="516">
        <f>10367+1511.2+1400+1500+1500+1000+20000+1000</f>
        <v>38278.199999999997</v>
      </c>
      <c r="P124" s="585">
        <f t="shared" si="6"/>
        <v>4625570</v>
      </c>
      <c r="Q124" s="648" t="s">
        <v>253</v>
      </c>
      <c r="R124" s="628" t="s">
        <v>428</v>
      </c>
      <c r="S124" s="226"/>
      <c r="T124" s="2"/>
    </row>
    <row r="125" spans="1:20" s="215" customFormat="1" ht="108" outlineLevel="1" x14ac:dyDescent="0.25">
      <c r="A125" s="225">
        <v>73</v>
      </c>
      <c r="B125" s="499" t="s">
        <v>258</v>
      </c>
      <c r="C125" s="499" t="s">
        <v>244</v>
      </c>
      <c r="D125" s="553" t="s">
        <v>414</v>
      </c>
      <c r="E125" s="616" t="s">
        <v>245</v>
      </c>
      <c r="F125" s="553" t="s">
        <v>544</v>
      </c>
      <c r="G125" s="553" t="s">
        <v>405</v>
      </c>
      <c r="H125" s="616"/>
      <c r="I125" s="616" t="s">
        <v>281</v>
      </c>
      <c r="J125" s="282" t="s">
        <v>51</v>
      </c>
      <c r="K125" s="284">
        <f>9500000+12453199</f>
        <v>21953199</v>
      </c>
      <c r="L125" s="516">
        <f>9500000+12453199</f>
        <v>21953199</v>
      </c>
      <c r="M125" s="556">
        <v>1E-4</v>
      </c>
      <c r="N125" s="516"/>
      <c r="O125" s="516">
        <v>3720</v>
      </c>
      <c r="P125" s="585">
        <f t="shared" si="6"/>
        <v>21953199</v>
      </c>
      <c r="Q125" s="648" t="s">
        <v>283</v>
      </c>
      <c r="R125" s="628" t="s">
        <v>433</v>
      </c>
      <c r="S125" s="226"/>
      <c r="T125" s="2"/>
    </row>
    <row r="126" spans="1:20" s="215" customFormat="1" ht="129.75" customHeight="1" outlineLevel="1" x14ac:dyDescent="0.25">
      <c r="A126" s="225">
        <v>74</v>
      </c>
      <c r="B126" s="499" t="s">
        <v>259</v>
      </c>
      <c r="C126" s="499" t="s">
        <v>244</v>
      </c>
      <c r="D126" s="553" t="s">
        <v>414</v>
      </c>
      <c r="E126" s="616" t="s">
        <v>245</v>
      </c>
      <c r="F126" s="553" t="s">
        <v>547</v>
      </c>
      <c r="G126" s="553" t="s">
        <v>405</v>
      </c>
      <c r="H126" s="616"/>
      <c r="I126" s="616" t="s">
        <v>282</v>
      </c>
      <c r="J126" s="282" t="s">
        <v>51</v>
      </c>
      <c r="K126" s="647">
        <v>15801400</v>
      </c>
      <c r="L126" s="516">
        <v>15801400</v>
      </c>
      <c r="M126" s="556">
        <v>1E-4</v>
      </c>
      <c r="N126" s="516"/>
      <c r="O126" s="516">
        <v>3500</v>
      </c>
      <c r="P126" s="585">
        <f t="shared" si="6"/>
        <v>15801400</v>
      </c>
      <c r="Q126" s="648" t="s">
        <v>284</v>
      </c>
      <c r="R126" s="628" t="s">
        <v>433</v>
      </c>
      <c r="S126" s="226"/>
      <c r="T126" s="2"/>
    </row>
    <row r="127" spans="1:20" s="215" customFormat="1" ht="129.75" customHeight="1" outlineLevel="1" x14ac:dyDescent="0.25">
      <c r="A127" s="225">
        <v>75</v>
      </c>
      <c r="B127" s="499" t="s">
        <v>260</v>
      </c>
      <c r="C127" s="499" t="s">
        <v>244</v>
      </c>
      <c r="D127" s="553" t="s">
        <v>414</v>
      </c>
      <c r="E127" s="616" t="s">
        <v>245</v>
      </c>
      <c r="F127" s="553" t="s">
        <v>546</v>
      </c>
      <c r="G127" s="553" t="s">
        <v>405</v>
      </c>
      <c r="H127" s="616"/>
      <c r="I127" s="616" t="s">
        <v>282</v>
      </c>
      <c r="J127" s="282" t="s">
        <v>51</v>
      </c>
      <c r="K127" s="647">
        <v>2554000</v>
      </c>
      <c r="L127" s="516">
        <v>2554000</v>
      </c>
      <c r="M127" s="556">
        <v>1E-4</v>
      </c>
      <c r="N127" s="516"/>
      <c r="O127" s="516">
        <f>500</f>
        <v>500</v>
      </c>
      <c r="P127" s="585">
        <f t="shared" si="6"/>
        <v>2554000</v>
      </c>
      <c r="Q127" s="648" t="s">
        <v>285</v>
      </c>
      <c r="R127" s="628" t="s">
        <v>433</v>
      </c>
      <c r="S127" s="226"/>
      <c r="T127" s="2"/>
    </row>
    <row r="128" spans="1:20" s="215" customFormat="1" ht="129.75" customHeight="1" outlineLevel="1" x14ac:dyDescent="0.25">
      <c r="A128" s="225">
        <v>76</v>
      </c>
      <c r="B128" s="499" t="s">
        <v>261</v>
      </c>
      <c r="C128" s="499" t="s">
        <v>244</v>
      </c>
      <c r="D128" s="553" t="s">
        <v>414</v>
      </c>
      <c r="E128" s="616" t="s">
        <v>245</v>
      </c>
      <c r="F128" s="553" t="s">
        <v>542</v>
      </c>
      <c r="G128" s="553" t="s">
        <v>405</v>
      </c>
      <c r="H128" s="616"/>
      <c r="I128" s="616" t="s">
        <v>286</v>
      </c>
      <c r="J128" s="282" t="s">
        <v>51</v>
      </c>
      <c r="K128" s="647">
        <v>29053320</v>
      </c>
      <c r="L128" s="516">
        <v>29053320</v>
      </c>
      <c r="M128" s="556">
        <v>1E-4</v>
      </c>
      <c r="N128" s="516"/>
      <c r="O128" s="516">
        <f>2000+3000</f>
        <v>5000</v>
      </c>
      <c r="P128" s="585">
        <f t="shared" si="6"/>
        <v>29053320</v>
      </c>
      <c r="Q128" s="648" t="s">
        <v>268</v>
      </c>
      <c r="R128" s="628" t="s">
        <v>433</v>
      </c>
      <c r="S128" s="226"/>
      <c r="T128" s="2"/>
    </row>
    <row r="129" spans="1:20" s="215" customFormat="1" ht="129.75" customHeight="1" outlineLevel="1" x14ac:dyDescent="0.25">
      <c r="A129" s="225">
        <v>77</v>
      </c>
      <c r="B129" s="499" t="s">
        <v>262</v>
      </c>
      <c r="C129" s="499" t="s">
        <v>244</v>
      </c>
      <c r="D129" s="553" t="s">
        <v>414</v>
      </c>
      <c r="E129" s="616" t="s">
        <v>245</v>
      </c>
      <c r="F129" s="553" t="s">
        <v>553</v>
      </c>
      <c r="G129" s="553" t="s">
        <v>405</v>
      </c>
      <c r="H129" s="616"/>
      <c r="I129" s="616" t="s">
        <v>287</v>
      </c>
      <c r="J129" s="282" t="s">
        <v>51</v>
      </c>
      <c r="K129" s="647">
        <v>192064443</v>
      </c>
      <c r="L129" s="516">
        <f>95000000+97064443</f>
        <v>192064443</v>
      </c>
      <c r="M129" s="556">
        <v>1E-4</v>
      </c>
      <c r="N129" s="516">
        <f>65000000+20000000+30000000+10000000+10000000</f>
        <v>135000000</v>
      </c>
      <c r="O129" s="516">
        <f>16100+12200+23933</f>
        <v>52233</v>
      </c>
      <c r="P129" s="585">
        <f t="shared" si="6"/>
        <v>57064443</v>
      </c>
      <c r="Q129" s="648" t="s">
        <v>350</v>
      </c>
      <c r="R129" s="628" t="s">
        <v>428</v>
      </c>
      <c r="S129" s="226"/>
      <c r="T129" s="2"/>
    </row>
    <row r="130" spans="1:20" s="215" customFormat="1" ht="129.75" customHeight="1" outlineLevel="1" x14ac:dyDescent="0.25">
      <c r="A130" s="225">
        <v>78</v>
      </c>
      <c r="B130" s="499" t="s">
        <v>263</v>
      </c>
      <c r="C130" s="499" t="s">
        <v>244</v>
      </c>
      <c r="D130" s="553" t="s">
        <v>414</v>
      </c>
      <c r="E130" s="616" t="s">
        <v>245</v>
      </c>
      <c r="F130" s="553" t="s">
        <v>541</v>
      </c>
      <c r="G130" s="553" t="s">
        <v>405</v>
      </c>
      <c r="H130" s="616"/>
      <c r="I130" s="616" t="s">
        <v>288</v>
      </c>
      <c r="J130" s="282" t="s">
        <v>51</v>
      </c>
      <c r="K130" s="647">
        <v>3469534</v>
      </c>
      <c r="L130" s="516">
        <v>3469534</v>
      </c>
      <c r="M130" s="556">
        <v>1E-4</v>
      </c>
      <c r="N130" s="516">
        <v>266887</v>
      </c>
      <c r="O130" s="516">
        <f>600+86</f>
        <v>686</v>
      </c>
      <c r="P130" s="585">
        <f t="shared" si="6"/>
        <v>3202647</v>
      </c>
      <c r="Q130" s="648" t="s">
        <v>289</v>
      </c>
      <c r="R130" s="628" t="s">
        <v>433</v>
      </c>
      <c r="S130" s="226"/>
      <c r="T130" s="2"/>
    </row>
    <row r="131" spans="1:20" s="215" customFormat="1" ht="129.75" customHeight="1" outlineLevel="1" x14ac:dyDescent="0.25">
      <c r="A131" s="225">
        <v>79</v>
      </c>
      <c r="B131" s="499" t="s">
        <v>270</v>
      </c>
      <c r="C131" s="499" t="s">
        <v>244</v>
      </c>
      <c r="D131" s="553" t="s">
        <v>414</v>
      </c>
      <c r="E131" s="616" t="s">
        <v>245</v>
      </c>
      <c r="F131" s="553" t="s">
        <v>551</v>
      </c>
      <c r="G131" s="553" t="s">
        <v>405</v>
      </c>
      <c r="H131" s="616"/>
      <c r="I131" s="616" t="s">
        <v>291</v>
      </c>
      <c r="J131" s="282" t="s">
        <v>51</v>
      </c>
      <c r="K131" s="647">
        <v>11781702</v>
      </c>
      <c r="L131" s="516">
        <v>11781702</v>
      </c>
      <c r="M131" s="556">
        <v>1E-4</v>
      </c>
      <c r="N131" s="516">
        <f>906285+906285+906285+906285+906285+906285+906285+906285+906285+906285+906285+910000</f>
        <v>10879135</v>
      </c>
      <c r="O131" s="516">
        <f>3000+1500+1500</f>
        <v>6000</v>
      </c>
      <c r="P131" s="585">
        <f t="shared" si="6"/>
        <v>902567</v>
      </c>
      <c r="Q131" s="648" t="s">
        <v>290</v>
      </c>
      <c r="R131" s="628" t="s">
        <v>428</v>
      </c>
      <c r="S131" s="226"/>
      <c r="T131" s="2"/>
    </row>
    <row r="132" spans="1:20" s="215" customFormat="1" ht="129.75" customHeight="1" outlineLevel="1" x14ac:dyDescent="0.25">
      <c r="A132" s="225">
        <v>0</v>
      </c>
      <c r="B132" s="499" t="s">
        <v>264</v>
      </c>
      <c r="C132" s="499" t="s">
        <v>244</v>
      </c>
      <c r="D132" s="553" t="s">
        <v>414</v>
      </c>
      <c r="E132" s="616" t="s">
        <v>245</v>
      </c>
      <c r="F132" s="553" t="s">
        <v>541</v>
      </c>
      <c r="G132" s="553" t="s">
        <v>405</v>
      </c>
      <c r="H132" s="616"/>
      <c r="I132" s="616" t="s">
        <v>292</v>
      </c>
      <c r="J132" s="282" t="s">
        <v>51</v>
      </c>
      <c r="K132" s="647">
        <f>112000000+16200000</f>
        <v>128200000</v>
      </c>
      <c r="L132" s="516">
        <f>112000000+16200000</f>
        <v>128200000</v>
      </c>
      <c r="M132" s="556">
        <v>1E-4</v>
      </c>
      <c r="N132" s="516">
        <f>3000000+3000000+4000000</f>
        <v>10000000</v>
      </c>
      <c r="O132" s="516">
        <f>25640+12820+12820+12820</f>
        <v>64100</v>
      </c>
      <c r="P132" s="585">
        <f t="shared" si="6"/>
        <v>118200000</v>
      </c>
      <c r="Q132" s="648" t="s">
        <v>293</v>
      </c>
      <c r="R132" s="628" t="s">
        <v>433</v>
      </c>
      <c r="S132" s="226"/>
      <c r="T132" s="2"/>
    </row>
    <row r="133" spans="1:20" s="215" customFormat="1" ht="129.75" customHeight="1" outlineLevel="1" x14ac:dyDescent="0.25">
      <c r="A133" s="225">
        <v>81</v>
      </c>
      <c r="B133" s="499" t="s">
        <v>271</v>
      </c>
      <c r="C133" s="499" t="s">
        <v>244</v>
      </c>
      <c r="D133" s="553" t="s">
        <v>414</v>
      </c>
      <c r="E133" s="616" t="s">
        <v>245</v>
      </c>
      <c r="F133" s="553" t="s">
        <v>543</v>
      </c>
      <c r="G133" s="553" t="s">
        <v>405</v>
      </c>
      <c r="H133" s="616"/>
      <c r="I133" s="616" t="s">
        <v>294</v>
      </c>
      <c r="J133" s="282" t="s">
        <v>51</v>
      </c>
      <c r="K133" s="647">
        <v>26127500</v>
      </c>
      <c r="L133" s="516">
        <v>26127500</v>
      </c>
      <c r="M133" s="556">
        <v>1E-4</v>
      </c>
      <c r="N133" s="516"/>
      <c r="O133" s="516">
        <f>4530</f>
        <v>4530</v>
      </c>
      <c r="P133" s="585">
        <f t="shared" si="6"/>
        <v>26127500</v>
      </c>
      <c r="Q133" s="648" t="s">
        <v>349</v>
      </c>
      <c r="R133" s="628" t="s">
        <v>433</v>
      </c>
      <c r="S133" s="226"/>
      <c r="T133" s="2"/>
    </row>
    <row r="134" spans="1:20" s="215" customFormat="1" ht="129.75" customHeight="1" outlineLevel="1" x14ac:dyDescent="0.25">
      <c r="A134" s="225">
        <v>82</v>
      </c>
      <c r="B134" s="499" t="s">
        <v>265</v>
      </c>
      <c r="C134" s="499" t="s">
        <v>244</v>
      </c>
      <c r="D134" s="553" t="s">
        <v>414</v>
      </c>
      <c r="E134" s="616" t="s">
        <v>245</v>
      </c>
      <c r="F134" s="553" t="s">
        <v>548</v>
      </c>
      <c r="G134" s="553" t="s">
        <v>405</v>
      </c>
      <c r="H134" s="616"/>
      <c r="I134" s="616" t="s">
        <v>295</v>
      </c>
      <c r="J134" s="282" t="s">
        <v>51</v>
      </c>
      <c r="K134" s="647">
        <v>19297200</v>
      </c>
      <c r="L134" s="516">
        <f>10800000+3440000+1440000+3617200</f>
        <v>19297200</v>
      </c>
      <c r="M134" s="556">
        <v>1E-4</v>
      </c>
      <c r="N134" s="516"/>
      <c r="O134" s="516">
        <f>3000</f>
        <v>3000</v>
      </c>
      <c r="P134" s="585">
        <f t="shared" si="6"/>
        <v>19297200</v>
      </c>
      <c r="Q134" s="648" t="s">
        <v>310</v>
      </c>
      <c r="R134" s="628" t="s">
        <v>483</v>
      </c>
      <c r="S134" s="226"/>
      <c r="T134" s="2"/>
    </row>
    <row r="135" spans="1:20" s="215" customFormat="1" ht="129.75" customHeight="1" outlineLevel="1" x14ac:dyDescent="0.25">
      <c r="A135" s="225">
        <v>83</v>
      </c>
      <c r="B135" s="499" t="s">
        <v>266</v>
      </c>
      <c r="C135" s="499" t="s">
        <v>244</v>
      </c>
      <c r="D135" s="553" t="s">
        <v>414</v>
      </c>
      <c r="E135" s="616" t="s">
        <v>245</v>
      </c>
      <c r="F135" s="553" t="s">
        <v>541</v>
      </c>
      <c r="G135" s="553" t="s">
        <v>405</v>
      </c>
      <c r="H135" s="616"/>
      <c r="I135" s="616" t="s">
        <v>288</v>
      </c>
      <c r="J135" s="282" t="s">
        <v>51</v>
      </c>
      <c r="K135" s="647">
        <v>2164000</v>
      </c>
      <c r="L135" s="516">
        <v>2164000</v>
      </c>
      <c r="M135" s="556">
        <v>1E-4</v>
      </c>
      <c r="N135" s="516">
        <f>166462+166462+165000+167000+166500+166500+67000+265923+100000</f>
        <v>1430847</v>
      </c>
      <c r="O135" s="516">
        <f>370+54.8+100+100+500</f>
        <v>1124.8</v>
      </c>
      <c r="P135" s="585">
        <f>L135-O135</f>
        <v>2162875.2000000002</v>
      </c>
      <c r="Q135" s="648" t="s">
        <v>269</v>
      </c>
      <c r="R135" s="628" t="s">
        <v>428</v>
      </c>
      <c r="S135" s="226"/>
      <c r="T135" s="2"/>
    </row>
    <row r="136" spans="1:20" s="215" customFormat="1" ht="129.75" customHeight="1" outlineLevel="1" x14ac:dyDescent="0.25">
      <c r="A136" s="225">
        <v>84</v>
      </c>
      <c r="B136" s="499" t="s">
        <v>277</v>
      </c>
      <c r="C136" s="499" t="s">
        <v>244</v>
      </c>
      <c r="D136" s="553" t="s">
        <v>414</v>
      </c>
      <c r="E136" s="616" t="s">
        <v>245</v>
      </c>
      <c r="F136" s="553" t="s">
        <v>555</v>
      </c>
      <c r="G136" s="553" t="s">
        <v>405</v>
      </c>
      <c r="H136" s="616"/>
      <c r="I136" s="616" t="s">
        <v>296</v>
      </c>
      <c r="J136" s="282" t="s">
        <v>51</v>
      </c>
      <c r="K136" s="647">
        <v>253504102</v>
      </c>
      <c r="L136" s="516">
        <v>253504102</v>
      </c>
      <c r="M136" s="556">
        <v>1E-4</v>
      </c>
      <c r="N136" s="516">
        <f>19500316+19500316+19500315+19500315+19500315+19500315+19500316+19500316+19500316+19500316+19500316</f>
        <v>214503472</v>
      </c>
      <c r="O136" s="516">
        <f>5973+6390+6181+6389+6181.4+6390+6390+6390+6389+5407+7015+5059.2+9482.9</f>
        <v>83637.499999999985</v>
      </c>
      <c r="P136" s="585">
        <f t="shared" ref="P136:P142" si="7">L136-N136</f>
        <v>39000630</v>
      </c>
      <c r="Q136" s="648" t="s">
        <v>297</v>
      </c>
      <c r="R136" s="628" t="s">
        <v>428</v>
      </c>
      <c r="S136" s="226"/>
      <c r="T136" s="2"/>
    </row>
    <row r="137" spans="1:20" s="215" customFormat="1" ht="129.75" customHeight="1" outlineLevel="1" x14ac:dyDescent="0.25">
      <c r="A137" s="225">
        <v>85</v>
      </c>
      <c r="B137" s="499" t="s">
        <v>278</v>
      </c>
      <c r="C137" s="499" t="s">
        <v>244</v>
      </c>
      <c r="D137" s="553" t="s">
        <v>414</v>
      </c>
      <c r="E137" s="616" t="s">
        <v>245</v>
      </c>
      <c r="F137" s="553" t="s">
        <v>549</v>
      </c>
      <c r="G137" s="553" t="s">
        <v>405</v>
      </c>
      <c r="H137" s="616"/>
      <c r="I137" s="616" t="s">
        <v>296</v>
      </c>
      <c r="J137" s="282" t="s">
        <v>51</v>
      </c>
      <c r="K137" s="647">
        <v>76200000</v>
      </c>
      <c r="L137" s="516">
        <v>76200000</v>
      </c>
      <c r="M137" s="556">
        <v>1E-4</v>
      </c>
      <c r="N137" s="516"/>
      <c r="O137" s="516">
        <f>7620+5520</f>
        <v>13140</v>
      </c>
      <c r="P137" s="585">
        <f t="shared" si="7"/>
        <v>76200000</v>
      </c>
      <c r="Q137" s="648" t="s">
        <v>298</v>
      </c>
      <c r="R137" s="628" t="s">
        <v>433</v>
      </c>
      <c r="S137" s="226"/>
      <c r="T137" s="2"/>
    </row>
    <row r="138" spans="1:20" s="215" customFormat="1" ht="108" outlineLevel="1" x14ac:dyDescent="0.25">
      <c r="A138" s="225">
        <v>86</v>
      </c>
      <c r="B138" s="499" t="s">
        <v>279</v>
      </c>
      <c r="C138" s="499" t="s">
        <v>244</v>
      </c>
      <c r="D138" s="553" t="s">
        <v>414</v>
      </c>
      <c r="E138" s="616" t="s">
        <v>245</v>
      </c>
      <c r="F138" s="553" t="s">
        <v>551</v>
      </c>
      <c r="G138" s="553" t="s">
        <v>405</v>
      </c>
      <c r="H138" s="616"/>
      <c r="I138" s="616" t="s">
        <v>299</v>
      </c>
      <c r="J138" s="282" t="s">
        <v>51</v>
      </c>
      <c r="K138" s="647">
        <v>50613970</v>
      </c>
      <c r="L138" s="516">
        <v>50613970</v>
      </c>
      <c r="M138" s="556">
        <v>1E-4</v>
      </c>
      <c r="N138" s="516"/>
      <c r="O138" s="516">
        <f>8800+8800</f>
        <v>17600</v>
      </c>
      <c r="P138" s="585">
        <f t="shared" si="7"/>
        <v>50613970</v>
      </c>
      <c r="Q138" s="648" t="s">
        <v>300</v>
      </c>
      <c r="R138" s="628" t="s">
        <v>433</v>
      </c>
      <c r="S138" s="226"/>
      <c r="T138" s="2"/>
    </row>
    <row r="139" spans="1:20" s="215" customFormat="1" ht="108" outlineLevel="1" x14ac:dyDescent="0.25">
      <c r="A139" s="225">
        <v>87</v>
      </c>
      <c r="B139" s="499" t="s">
        <v>311</v>
      </c>
      <c r="C139" s="499" t="s">
        <v>244</v>
      </c>
      <c r="D139" s="553" t="s">
        <v>414</v>
      </c>
      <c r="E139" s="616" t="s">
        <v>245</v>
      </c>
      <c r="F139" s="553" t="s">
        <v>550</v>
      </c>
      <c r="G139" s="553" t="s">
        <v>405</v>
      </c>
      <c r="H139" s="616"/>
      <c r="I139" s="616" t="s">
        <v>312</v>
      </c>
      <c r="J139" s="282" t="s">
        <v>51</v>
      </c>
      <c r="K139" s="647">
        <v>184740000</v>
      </c>
      <c r="L139" s="516">
        <v>184740000</v>
      </c>
      <c r="M139" s="556">
        <v>1E-4</v>
      </c>
      <c r="N139" s="516"/>
      <c r="O139" s="516">
        <f>31700</f>
        <v>31700</v>
      </c>
      <c r="P139" s="585">
        <f t="shared" si="7"/>
        <v>184740000</v>
      </c>
      <c r="Q139" s="648" t="s">
        <v>313</v>
      </c>
      <c r="R139" s="628" t="s">
        <v>483</v>
      </c>
      <c r="S139" s="226"/>
      <c r="T139" s="2"/>
    </row>
    <row r="140" spans="1:20" s="215" customFormat="1" ht="108" outlineLevel="1" x14ac:dyDescent="0.25">
      <c r="A140" s="225">
        <v>88</v>
      </c>
      <c r="B140" s="499" t="s">
        <v>314</v>
      </c>
      <c r="C140" s="499" t="s">
        <v>244</v>
      </c>
      <c r="D140" s="553" t="s">
        <v>414</v>
      </c>
      <c r="E140" s="616" t="s">
        <v>245</v>
      </c>
      <c r="F140" s="553" t="s">
        <v>554</v>
      </c>
      <c r="G140" s="553" t="s">
        <v>405</v>
      </c>
      <c r="H140" s="616"/>
      <c r="I140" s="616" t="s">
        <v>315</v>
      </c>
      <c r="J140" s="282" t="s">
        <v>51</v>
      </c>
      <c r="K140" s="647">
        <v>219559596</v>
      </c>
      <c r="L140" s="516">
        <v>219559596</v>
      </c>
      <c r="M140" s="556">
        <v>1E-4</v>
      </c>
      <c r="N140" s="516">
        <f>16889200+16889200+185781196</f>
        <v>219559596</v>
      </c>
      <c r="O140" s="516">
        <f>5294+5294+27550+5533+1000</f>
        <v>44671</v>
      </c>
      <c r="P140" s="585">
        <f t="shared" si="7"/>
        <v>0</v>
      </c>
      <c r="Q140" s="648" t="s">
        <v>316</v>
      </c>
      <c r="R140" s="628" t="s">
        <v>482</v>
      </c>
      <c r="S140" s="226"/>
      <c r="T140" s="2"/>
    </row>
    <row r="141" spans="1:20" s="215" customFormat="1" ht="108" outlineLevel="1" x14ac:dyDescent="0.25">
      <c r="A141" s="225">
        <v>89</v>
      </c>
      <c r="B141" s="499" t="s">
        <v>317</v>
      </c>
      <c r="C141" s="499" t="s">
        <v>244</v>
      </c>
      <c r="D141" s="553" t="s">
        <v>414</v>
      </c>
      <c r="E141" s="616" t="s">
        <v>245</v>
      </c>
      <c r="F141" s="553" t="s">
        <v>550</v>
      </c>
      <c r="G141" s="553" t="s">
        <v>405</v>
      </c>
      <c r="H141" s="616"/>
      <c r="I141" s="616" t="s">
        <v>312</v>
      </c>
      <c r="J141" s="282" t="s">
        <v>51</v>
      </c>
      <c r="K141" s="647">
        <v>29081500</v>
      </c>
      <c r="L141" s="516">
        <v>29081500</v>
      </c>
      <c r="M141" s="556">
        <v>1E-4</v>
      </c>
      <c r="N141" s="516"/>
      <c r="O141" s="516">
        <f>1000+4000+3000+1000+1000</f>
        <v>10000</v>
      </c>
      <c r="P141" s="585">
        <f t="shared" si="7"/>
        <v>29081500</v>
      </c>
      <c r="Q141" s="648" t="s">
        <v>318</v>
      </c>
      <c r="R141" s="628" t="s">
        <v>433</v>
      </c>
      <c r="S141" s="226"/>
      <c r="T141" s="2"/>
    </row>
    <row r="142" spans="1:20" s="215" customFormat="1" ht="123" customHeight="1" outlineLevel="1" thickBot="1" x14ac:dyDescent="0.3">
      <c r="A142" s="225">
        <v>90</v>
      </c>
      <c r="B142" s="631" t="s">
        <v>319</v>
      </c>
      <c r="C142" s="631" t="s">
        <v>244</v>
      </c>
      <c r="D142" s="522" t="s">
        <v>414</v>
      </c>
      <c r="E142" s="523" t="s">
        <v>245</v>
      </c>
      <c r="F142" s="522" t="s">
        <v>168</v>
      </c>
      <c r="G142" s="522" t="s">
        <v>405</v>
      </c>
      <c r="H142" s="523"/>
      <c r="I142" s="523" t="s">
        <v>334</v>
      </c>
      <c r="J142" s="522" t="s">
        <v>51</v>
      </c>
      <c r="K142" s="632">
        <v>12060940</v>
      </c>
      <c r="L142" s="632">
        <v>12060940</v>
      </c>
      <c r="M142" s="584">
        <v>1E-4</v>
      </c>
      <c r="N142" s="632"/>
      <c r="O142" s="632">
        <v>2170</v>
      </c>
      <c r="P142" s="635">
        <f t="shared" si="7"/>
        <v>12060940</v>
      </c>
      <c r="Q142" s="636" t="s">
        <v>320</v>
      </c>
      <c r="R142" s="637" t="s">
        <v>433</v>
      </c>
      <c r="S142" s="226"/>
      <c r="T142" s="2"/>
    </row>
    <row r="143" spans="1:20" s="594" customFormat="1" ht="30" customHeight="1" x14ac:dyDescent="0.25">
      <c r="A143" s="595" t="s">
        <v>352</v>
      </c>
      <c r="B143" s="596"/>
      <c r="C143" s="597"/>
      <c r="D143" s="638"/>
      <c r="E143" s="638"/>
      <c r="F143" s="638"/>
      <c r="G143" s="639"/>
      <c r="H143" s="639"/>
      <c r="I143" s="639"/>
      <c r="J143" s="663" t="s">
        <v>30</v>
      </c>
      <c r="K143" s="603">
        <f>SUMIF($J$122:$J$142,J143,$K$122:$K$142)</f>
        <v>0</v>
      </c>
      <c r="L143" s="640">
        <f>SUMIF($J$112:$J$142,J143,$L$112:$L$142)</f>
        <v>0</v>
      </c>
      <c r="M143" s="640"/>
      <c r="N143" s="640">
        <f>SUMIF($J$122:$J$142,J143,$N$122:$N$142)</f>
        <v>0</v>
      </c>
      <c r="O143" s="640">
        <f>SUMIF($J$112:$J$142,J143,$O$112:$O$142)</f>
        <v>0</v>
      </c>
      <c r="P143" s="640">
        <f>SUMIF($J$112:$J$142,J143,$P$112:$P$142)</f>
        <v>0</v>
      </c>
      <c r="Q143" s="641"/>
      <c r="R143" s="593"/>
      <c r="S143" s="10"/>
      <c r="T143" s="2"/>
    </row>
    <row r="144" spans="1:20" s="594" customFormat="1" ht="27" customHeight="1" x14ac:dyDescent="0.25">
      <c r="A144" s="595"/>
      <c r="B144" s="596"/>
      <c r="C144" s="597"/>
      <c r="D144" s="562"/>
      <c r="E144" s="562"/>
      <c r="F144" s="562"/>
      <c r="G144" s="598"/>
      <c r="H144" s="598"/>
      <c r="I144" s="598"/>
      <c r="J144" s="664" t="s">
        <v>51</v>
      </c>
      <c r="K144" s="599">
        <f>SUMIF($J$122:$J$142,J144,$K$122:$K$142)</f>
        <v>2011462986</v>
      </c>
      <c r="L144" s="599">
        <f>SUMIF($J$122:$J$142,J144,$L$122:$L$142)</f>
        <v>2011462986</v>
      </c>
      <c r="M144" s="599"/>
      <c r="N144" s="599">
        <f>SUMIF($J$122:$J$142,J144,$N$122:$N$142)</f>
        <v>779721852.20000005</v>
      </c>
      <c r="O144" s="599">
        <f>SUMIF($J$122:$J$142,J144,$O$122:$O$142)</f>
        <v>542405.19999999995</v>
      </c>
      <c r="P144" s="599">
        <f>SUMIF($J$122:$J$142,J144,$P$122:$P$142)</f>
        <v>1233170856</v>
      </c>
      <c r="Q144" s="600"/>
      <c r="R144" s="601"/>
      <c r="S144" s="10"/>
      <c r="T144" s="2"/>
    </row>
    <row r="145" spans="1:20" s="594" customFormat="1" ht="28.5" customHeight="1" x14ac:dyDescent="0.25">
      <c r="A145" s="595"/>
      <c r="B145" s="596"/>
      <c r="C145" s="597"/>
      <c r="D145" s="562"/>
      <c r="E145" s="562"/>
      <c r="F145" s="562"/>
      <c r="G145" s="598"/>
      <c r="H145" s="598"/>
      <c r="I145" s="598"/>
      <c r="J145" s="664" t="s">
        <v>26</v>
      </c>
      <c r="K145" s="599">
        <f>SUMIF($J$122:$J$142,J145,$K$122:$K$142)</f>
        <v>0</v>
      </c>
      <c r="L145" s="599">
        <f>SUMIF($J$112:$J$142,J145,$L$112:$L$142)</f>
        <v>0</v>
      </c>
      <c r="M145" s="599"/>
      <c r="N145" s="599">
        <f>SUMIF($J$112:$J$142,J145,$N$112:$N$142)</f>
        <v>0</v>
      </c>
      <c r="O145" s="599">
        <f>SUMIF($J$112:$J$142,J145,$O$112:$O$142)</f>
        <v>0</v>
      </c>
      <c r="P145" s="599">
        <f>SUMIF($J$112:$J$142,J145,$P$112:$P$142)</f>
        <v>0</v>
      </c>
      <c r="Q145" s="600"/>
      <c r="R145" s="601"/>
      <c r="S145" s="10"/>
      <c r="T145" s="2"/>
    </row>
    <row r="146" spans="1:20" s="594" customFormat="1" ht="30" customHeight="1" thickBot="1" x14ac:dyDescent="0.3">
      <c r="A146" s="606"/>
      <c r="B146" s="607"/>
      <c r="C146" s="608"/>
      <c r="D146" s="626"/>
      <c r="E146" s="626"/>
      <c r="F146" s="626"/>
      <c r="G146" s="609"/>
      <c r="H146" s="609"/>
      <c r="I146" s="609"/>
      <c r="J146" s="611" t="s">
        <v>18</v>
      </c>
      <c r="K146" s="613">
        <f>SUMIF($J$122:$J$142,J146,$K$122:$K$142)</f>
        <v>0</v>
      </c>
      <c r="L146" s="613">
        <f>SUMIF($J$112:$J$142,J146,$L$112:$L$142)</f>
        <v>0</v>
      </c>
      <c r="M146" s="613"/>
      <c r="N146" s="613">
        <f>SUMIF($J$112:$J$142,J146,$N$112:$N$142)</f>
        <v>0</v>
      </c>
      <c r="O146" s="613">
        <f>SUMIF($J$112:$J$142,J146,$O$112:$O$142)</f>
        <v>0</v>
      </c>
      <c r="P146" s="613">
        <f>SUMIF($J$112:$J$142,J146,$P$112:$P$142)</f>
        <v>0</v>
      </c>
      <c r="Q146" s="614"/>
      <c r="R146" s="615"/>
      <c r="S146" s="10"/>
      <c r="T146" s="2"/>
    </row>
    <row r="147" spans="1:20" s="594" customFormat="1" ht="15.75" customHeight="1" x14ac:dyDescent="0.25">
      <c r="A147" s="587" t="s">
        <v>162</v>
      </c>
      <c r="B147" s="588"/>
      <c r="C147" s="589"/>
      <c r="D147" s="638"/>
      <c r="E147" s="638"/>
      <c r="F147" s="638"/>
      <c r="G147" s="639"/>
      <c r="H147" s="639"/>
      <c r="I147" s="639"/>
      <c r="J147" s="663" t="s">
        <v>30</v>
      </c>
      <c r="K147" s="640">
        <f>K51+K62+K73+K108+K118+K143</f>
        <v>340755742.28000003</v>
      </c>
      <c r="L147" s="640">
        <f>L51+L62+L73+L108+L118+L143</f>
        <v>144960529.04000002</v>
      </c>
      <c r="M147" s="640">
        <f>M51+M62+M73+M108+M118+M143</f>
        <v>0</v>
      </c>
      <c r="N147" s="640">
        <f>N51+N62+N73+N108+N118+N143</f>
        <v>58285859.894386485</v>
      </c>
      <c r="O147" s="640">
        <f>O51+O62+O73+O108+O118+O143</f>
        <v>22701809.647385489</v>
      </c>
      <c r="P147" s="640">
        <f>P51+P62+P73+P108+P118+P143</f>
        <v>87436237.575613528</v>
      </c>
      <c r="Q147" s="641"/>
      <c r="R147" s="593"/>
      <c r="S147" s="10"/>
      <c r="T147" s="2"/>
    </row>
    <row r="148" spans="1:20" s="594" customFormat="1" ht="17.25" customHeight="1" x14ac:dyDescent="0.25">
      <c r="A148" s="595"/>
      <c r="B148" s="596"/>
      <c r="C148" s="597"/>
      <c r="D148" s="562"/>
      <c r="E148" s="562"/>
      <c r="F148" s="562"/>
      <c r="G148" s="598"/>
      <c r="H148" s="598"/>
      <c r="I148" s="598"/>
      <c r="J148" s="664" t="s">
        <v>51</v>
      </c>
      <c r="K148" s="640">
        <f>K52+K63+K74+K109+K119+K144</f>
        <v>206519010224.71002</v>
      </c>
      <c r="L148" s="640">
        <f>L52+L63+L74+L109+L119+L144</f>
        <v>204936845210.71002</v>
      </c>
      <c r="M148" s="640">
        <f>M52+M63+M74+M109+M119+M144</f>
        <v>0</v>
      </c>
      <c r="N148" s="640">
        <f>N52+N63+N74+N109+N119+N144</f>
        <v>104009544082.5847</v>
      </c>
      <c r="O148" s="640">
        <f>O52+O63+O74+O109+O119+O144</f>
        <v>52648169181.767273</v>
      </c>
      <c r="P148" s="640">
        <f>P52+P63+P74+P109+P119+P144</f>
        <v>100678730850.32527</v>
      </c>
      <c r="Q148" s="600"/>
      <c r="R148" s="601"/>
      <c r="S148" s="10"/>
      <c r="T148" s="2"/>
    </row>
    <row r="149" spans="1:20" s="594" customFormat="1" ht="15" customHeight="1" x14ac:dyDescent="0.25">
      <c r="A149" s="595"/>
      <c r="B149" s="596"/>
      <c r="C149" s="597"/>
      <c r="D149" s="562"/>
      <c r="E149" s="562"/>
      <c r="F149" s="562"/>
      <c r="G149" s="598"/>
      <c r="H149" s="598"/>
      <c r="I149" s="598"/>
      <c r="J149" s="664" t="s">
        <v>26</v>
      </c>
      <c r="K149" s="640">
        <f>K53+K64+K75+K110+K120+K145</f>
        <v>521140620.31999999</v>
      </c>
      <c r="L149" s="640">
        <f>L53+L64+L75+L110+L120+L145</f>
        <v>361023014.03000003</v>
      </c>
      <c r="M149" s="640">
        <f>M53+M64+M75+M110+M120+M145</f>
        <v>0</v>
      </c>
      <c r="N149" s="640">
        <f>N53+N64+N75+N110+N120+N145</f>
        <v>140611371.56150675</v>
      </c>
      <c r="O149" s="640">
        <f>O53+O64+O75+O110+O120+O145</f>
        <v>75390518.115089685</v>
      </c>
      <c r="P149" s="640">
        <f>P53+P64+P75+P110+P120+P145</f>
        <v>220411642.46849328</v>
      </c>
      <c r="Q149" s="600"/>
      <c r="R149" s="601"/>
      <c r="S149" s="10"/>
      <c r="T149" s="2"/>
    </row>
    <row r="150" spans="1:20" s="594" customFormat="1" ht="25.5" customHeight="1" x14ac:dyDescent="0.25">
      <c r="A150" s="595"/>
      <c r="B150" s="596"/>
      <c r="C150" s="597"/>
      <c r="D150" s="562"/>
      <c r="E150" s="562"/>
      <c r="F150" s="562"/>
      <c r="G150" s="598"/>
      <c r="H150" s="598"/>
      <c r="I150" s="598"/>
      <c r="J150" s="664" t="s">
        <v>18</v>
      </c>
      <c r="K150" s="640">
        <f>K54+K65+K76+K111+K121+K146</f>
        <v>31777311969</v>
      </c>
      <c r="L150" s="640">
        <f>L54+L65+L76+L111+L121+L146</f>
        <v>31859249643</v>
      </c>
      <c r="M150" s="640">
        <f>M54+M65+M76+M111+M121+M146</f>
        <v>0</v>
      </c>
      <c r="N150" s="640">
        <f>N54+N65+N76+N111+N121+N146</f>
        <v>13318630440.231791</v>
      </c>
      <c r="O150" s="640">
        <f>O54+O65+O76+O111+O121+O146</f>
        <v>3728665131.7821455</v>
      </c>
      <c r="P150" s="640">
        <f>P54+P65+P76+P111+P121+P146</f>
        <v>18540619202.768208</v>
      </c>
      <c r="Q150" s="604"/>
      <c r="R150" s="605"/>
      <c r="S150" s="10"/>
      <c r="T150" s="2"/>
    </row>
    <row r="151" spans="1:20" s="594" customFormat="1" ht="15" customHeight="1" thickBot="1" x14ac:dyDescent="0.3">
      <c r="A151" s="606"/>
      <c r="B151" s="607"/>
      <c r="C151" s="608"/>
      <c r="D151" s="626"/>
      <c r="E151" s="626"/>
      <c r="F151" s="626"/>
      <c r="G151" s="609"/>
      <c r="H151" s="609"/>
      <c r="I151" s="609"/>
      <c r="J151" s="664" t="s">
        <v>216</v>
      </c>
      <c r="K151" s="640">
        <f>K55</f>
        <v>24086688</v>
      </c>
      <c r="L151" s="640">
        <f t="shared" ref="L151:P151" si="8">L55</f>
        <v>18384172.012149811</v>
      </c>
      <c r="M151" s="640">
        <f t="shared" si="8"/>
        <v>0</v>
      </c>
      <c r="N151" s="640">
        <f t="shared" si="8"/>
        <v>4824455.8054339811</v>
      </c>
      <c r="O151" s="640">
        <f t="shared" si="8"/>
        <v>3135419.4621466845</v>
      </c>
      <c r="P151" s="640">
        <f t="shared" si="8"/>
        <v>13559716.206715828</v>
      </c>
      <c r="Q151" s="604"/>
      <c r="R151" s="605"/>
      <c r="S151" s="10"/>
      <c r="T151" s="2"/>
    </row>
    <row r="152" spans="1:20" ht="51" customHeight="1" thickBot="1" x14ac:dyDescent="0.3">
      <c r="A152" s="665">
        <v>95</v>
      </c>
      <c r="B152" s="666" t="s">
        <v>579</v>
      </c>
      <c r="C152" s="667" t="s">
        <v>152</v>
      </c>
      <c r="D152" s="662" t="s">
        <v>414</v>
      </c>
      <c r="E152" s="662"/>
      <c r="F152" s="662" t="s">
        <v>241</v>
      </c>
      <c r="G152" s="662" t="s">
        <v>405</v>
      </c>
      <c r="H152" s="662"/>
      <c r="I152" s="662" t="s">
        <v>242</v>
      </c>
      <c r="J152" s="667" t="s">
        <v>51</v>
      </c>
      <c r="K152" s="668">
        <f>834800635300+144000000000+32000000000+132000000000+3500000000+14000000000+2900000000+4000000000</f>
        <v>1167200635300</v>
      </c>
      <c r="L152" s="669">
        <f>834798635300+12095027500+14732486250+11774486250+13492000000+25492000000+15482000000+12375860000+12000000000+13000000000+12000000000+15700000000+17856140000+15664000000+17000000000+14500000000+15500000000+26000000000+14900000000+11999274664+16000725336+11696539543.9-117562.5+1914256066+4468226857+1348282597</f>
        <v>1161789822801.3999</v>
      </c>
      <c r="M152" s="670">
        <v>1E-4</v>
      </c>
      <c r="N152" s="669"/>
      <c r="O152" s="669"/>
      <c r="P152" s="671">
        <f>L152-N152</f>
        <v>1161789822801.3999</v>
      </c>
      <c r="Q152" s="672" t="s">
        <v>111</v>
      </c>
      <c r="R152" s="673"/>
      <c r="T152" s="594"/>
    </row>
    <row r="153" spans="1:20" ht="17.25" x14ac:dyDescent="0.3">
      <c r="B153" s="525" t="s">
        <v>51</v>
      </c>
      <c r="C153" s="526"/>
      <c r="J153" s="675"/>
      <c r="K153" s="676"/>
      <c r="L153" s="676"/>
      <c r="P153" s="678"/>
      <c r="Q153" s="533"/>
      <c r="R153" s="533"/>
    </row>
    <row r="154" spans="1:20" ht="17.25" x14ac:dyDescent="0.3">
      <c r="B154" s="525" t="s">
        <v>26</v>
      </c>
      <c r="C154" s="526">
        <v>389.45</v>
      </c>
      <c r="K154" s="676"/>
      <c r="L154" s="679"/>
      <c r="M154" s="680"/>
      <c r="O154" s="676"/>
      <c r="P154" s="681"/>
      <c r="Q154" s="682"/>
      <c r="R154" s="682"/>
    </row>
    <row r="155" spans="1:20" ht="17.25" x14ac:dyDescent="0.3">
      <c r="B155" s="525" t="s">
        <v>18</v>
      </c>
      <c r="C155" s="689">
        <v>2.7296999999999998</v>
      </c>
      <c r="L155" s="676"/>
      <c r="O155" s="676"/>
      <c r="P155" s="683"/>
      <c r="Q155" s="684"/>
      <c r="R155" s="684"/>
    </row>
    <row r="156" spans="1:20" ht="17.25" x14ac:dyDescent="0.3">
      <c r="B156" s="525" t="s">
        <v>30</v>
      </c>
      <c r="C156" s="526">
        <v>443.12</v>
      </c>
      <c r="L156" s="679"/>
      <c r="O156" s="676"/>
      <c r="P156" s="679"/>
      <c r="Q156" s="684"/>
      <c r="R156" s="684"/>
    </row>
    <row r="157" spans="1:20" ht="17.25" x14ac:dyDescent="0.3">
      <c r="B157" s="525" t="s">
        <v>216</v>
      </c>
      <c r="C157" s="526">
        <v>527.54</v>
      </c>
      <c r="O157" s="533"/>
      <c r="P157" s="676"/>
      <c r="Q157" s="2"/>
      <c r="R157" s="2"/>
    </row>
    <row r="158" spans="1:20" x14ac:dyDescent="0.25">
      <c r="Q158" s="2"/>
      <c r="R158" s="2"/>
    </row>
    <row r="159" spans="1:20" x14ac:dyDescent="0.25">
      <c r="P159" s="685"/>
    </row>
    <row r="160" spans="1:20" x14ac:dyDescent="0.25">
      <c r="L160" s="683"/>
      <c r="O160" s="676"/>
      <c r="P160" s="683"/>
    </row>
    <row r="161" spans="2:20" ht="14.25" x14ac:dyDescent="0.25">
      <c r="B161" s="686" t="s">
        <v>429</v>
      </c>
      <c r="C161" s="687" t="s">
        <v>490</v>
      </c>
      <c r="F161" s="686"/>
      <c r="G161" s="687"/>
      <c r="P161" s="676"/>
    </row>
    <row r="162" spans="2:20" x14ac:dyDescent="0.25">
      <c r="B162" s="528" t="s">
        <v>405</v>
      </c>
      <c r="C162" s="533">
        <f>COUNTIF($G$5:$G$152,B162)</f>
        <v>51</v>
      </c>
      <c r="F162" s="528"/>
      <c r="G162" s="533"/>
      <c r="P162" s="676"/>
    </row>
    <row r="163" spans="2:20" x14ac:dyDescent="0.25">
      <c r="B163" s="528" t="s">
        <v>430</v>
      </c>
      <c r="C163" s="533">
        <f>COUNTIF($G$5:$G$152,B163)</f>
        <v>39</v>
      </c>
      <c r="D163" s="533"/>
      <c r="E163" s="533"/>
      <c r="F163" s="528"/>
      <c r="G163" s="533"/>
    </row>
    <row r="164" spans="2:20" x14ac:dyDescent="0.25">
      <c r="B164" s="528" t="s">
        <v>431</v>
      </c>
      <c r="C164" s="533">
        <f>COUNTIF($G$5:$G$152,B164)</f>
        <v>15</v>
      </c>
      <c r="D164" s="533"/>
      <c r="E164" s="533"/>
      <c r="F164" s="528"/>
      <c r="G164" s="533"/>
    </row>
    <row r="165" spans="2:20" x14ac:dyDescent="0.25">
      <c r="B165" s="528" t="s">
        <v>489</v>
      </c>
      <c r="C165" s="533">
        <f>COUNTIF($G$5:$G$152,B165)</f>
        <v>4</v>
      </c>
      <c r="D165" s="533"/>
      <c r="E165" s="533"/>
      <c r="F165" s="528"/>
      <c r="G165" s="533"/>
      <c r="P165" s="676"/>
    </row>
    <row r="166" spans="2:20" s="679" customFormat="1" ht="14.25" x14ac:dyDescent="0.25">
      <c r="B166" s="528" t="s">
        <v>488</v>
      </c>
      <c r="C166" s="533">
        <f>COUNTIF($G$5:$G$152,B166)</f>
        <v>1</v>
      </c>
      <c r="D166" s="533"/>
      <c r="E166" s="533"/>
      <c r="F166" s="528"/>
      <c r="G166" s="687"/>
      <c r="H166" s="674"/>
      <c r="I166" s="3"/>
      <c r="J166" s="3"/>
      <c r="K166" s="3"/>
      <c r="L166" s="3"/>
      <c r="M166" s="677"/>
      <c r="N166" s="3"/>
      <c r="O166" s="3"/>
      <c r="P166" s="676"/>
      <c r="Q166" s="3"/>
      <c r="R166" s="3"/>
      <c r="S166" s="2"/>
      <c r="T166" s="3"/>
    </row>
    <row r="167" spans="2:20" ht="14.25" x14ac:dyDescent="0.25">
      <c r="C167" s="687">
        <f>SUM(C162:C166)</f>
        <v>110</v>
      </c>
      <c r="D167" s="533"/>
      <c r="E167" s="533"/>
      <c r="F167" s="528"/>
      <c r="G167" s="533"/>
      <c r="P167" s="676"/>
    </row>
    <row r="168" spans="2:20" x14ac:dyDescent="0.25">
      <c r="C168" s="533"/>
      <c r="D168" s="533"/>
      <c r="E168" s="533"/>
      <c r="F168" s="528"/>
      <c r="G168" s="533"/>
      <c r="P168" s="676"/>
    </row>
    <row r="169" spans="2:20" x14ac:dyDescent="0.25">
      <c r="C169" s="533"/>
      <c r="D169" s="533"/>
      <c r="E169" s="533"/>
      <c r="F169" s="528"/>
      <c r="G169" s="533"/>
      <c r="P169" s="676"/>
    </row>
    <row r="170" spans="2:20" x14ac:dyDescent="0.25">
      <c r="C170" s="533"/>
      <c r="D170" s="533"/>
      <c r="E170" s="533"/>
      <c r="F170" s="528"/>
      <c r="G170" s="533"/>
    </row>
    <row r="171" spans="2:20" x14ac:dyDescent="0.25">
      <c r="C171" s="533"/>
      <c r="D171" s="533"/>
      <c r="E171" s="533"/>
      <c r="F171" s="528"/>
      <c r="G171" s="533"/>
    </row>
  </sheetData>
  <sheetProtection formatCells="0" formatColumns="0" formatRows="0"/>
  <protectedRanges>
    <protectedRange password="C670" sqref="Q85:R96 F84 A85:G89 A90:E96 F95:H96 F90:G94 L78:R81 I85:P96 A69:R72 A78:K81" name="Maria"/>
    <protectedRange algorithmName="SHA-512" hashValue="R0m7mG/o0t2+7dbQTzM5iQkFX2amgAS+iAGJudQnnweh07e6LDAbSuhvcwbzcp7drP+HIG4d/wHfMCXiBXmkow==" saltValue="hXh6Ce3lteSj/cvmR3BSBw==" spinCount="100000" sqref="A122:G142 C152:G152 Q152:R152 Q122:R142 L103:O105 A152 A103:E105 I103:K105 F105:H105 F103:G104 L122:O142 L152:O152 Q103:R105 I152:K152 I122:K142" name="Narine"/>
    <protectedRange algorithmName="SHA-512" hashValue="vw/tfZfxCvSE0U6Hm2G3C/Aj3bUp3KdD+IHhHinfC+crRPhv3Uapv1zQ/dMQFE5wwqt30lhFdhsH6enTApEPhg==" saltValue="AJSG7Dc7ySbRZF9wPd6fsA==" spinCount="100000" sqref="Q105:R107 E106 A66:F67 G67:O67 A105:D107 E105:F105 Q66:R67 G105:O106 G66:N66 E107:O107" name="Nara"/>
    <protectedRange algorithmName="SHA-512" hashValue="2hnhy85Hze6pXZTujHMyiGA7lE9yapdzAMEgpTAQUbEvX5wkbgVJAYj8efzABUddHb+HHBXm+QO7FFQ7DdcL0Q==" saltValue="/3Se5MhqYIbXZuII16lL6A==" spinCount="100000" sqref="L112:R117 A112:K117 A77:R77" name="Nona"/>
    <protectedRange algorithmName="SHA-512" hashValue="vw/tfZfxCvSE0U6Hm2G3C/Aj3bUp3KdD+IHhHinfC+crRPhv3Uapv1zQ/dMQFE5wwqt30lhFdhsH6enTApEPhg==" saltValue="AJSG7Dc7ySbRZF9wPd6fsA==" spinCount="100000" sqref="O66" name="Nara_1"/>
    <protectedRange algorithmName="SHA-512" hashValue="R0m7mG/o0t2+7dbQTzM5iQkFX2amgAS+iAGJudQnnweh07e6LDAbSuhvcwbzcp7drP+HIG4d/wHfMCXiBXmkow==" saltValue="hXh6Ce3lteSj/cvmR3BSBw==" spinCount="100000" sqref="B152" name="Narine_1"/>
  </protectedRanges>
  <mergeCells count="153">
    <mergeCell ref="A1:Q1"/>
    <mergeCell ref="A2:Q2"/>
    <mergeCell ref="A5:A6"/>
    <mergeCell ref="F5:F6"/>
    <mergeCell ref="H5:H6"/>
    <mergeCell ref="A9:A10"/>
    <mergeCell ref="C9:C10"/>
    <mergeCell ref="F9:F10"/>
    <mergeCell ref="H9:H10"/>
    <mergeCell ref="I9:I10"/>
    <mergeCell ref="E5:E6"/>
    <mergeCell ref="A13:A14"/>
    <mergeCell ref="C13:C14"/>
    <mergeCell ref="F13:F14"/>
    <mergeCell ref="H13:H14"/>
    <mergeCell ref="I13:I14"/>
    <mergeCell ref="Q13:Q14"/>
    <mergeCell ref="Q9:Q10"/>
    <mergeCell ref="A11:A12"/>
    <mergeCell ref="C11:C12"/>
    <mergeCell ref="F11:F12"/>
    <mergeCell ref="H11:H12"/>
    <mergeCell ref="I11:I12"/>
    <mergeCell ref="Q11:Q12"/>
    <mergeCell ref="E9:E10"/>
    <mergeCell ref="E11:E12"/>
    <mergeCell ref="E13:E14"/>
    <mergeCell ref="Q15:Q16"/>
    <mergeCell ref="A17:A18"/>
    <mergeCell ref="C17:C18"/>
    <mergeCell ref="D17:D18"/>
    <mergeCell ref="F17:F18"/>
    <mergeCell ref="H17:H18"/>
    <mergeCell ref="I17:I18"/>
    <mergeCell ref="Q17:Q18"/>
    <mergeCell ref="A15:A16"/>
    <mergeCell ref="C15:C16"/>
    <mergeCell ref="D15:D16"/>
    <mergeCell ref="F15:F16"/>
    <mergeCell ref="H15:H16"/>
    <mergeCell ref="I15:I16"/>
    <mergeCell ref="E15:E16"/>
    <mergeCell ref="E17:E18"/>
    <mergeCell ref="Q19:Q20"/>
    <mergeCell ref="A21:A22"/>
    <mergeCell ref="H21:H22"/>
    <mergeCell ref="I21:I22"/>
    <mergeCell ref="Q21:Q22"/>
    <mergeCell ref="A19:A20"/>
    <mergeCell ref="C19:C22"/>
    <mergeCell ref="D19:D22"/>
    <mergeCell ref="F19:F22"/>
    <mergeCell ref="H19:H20"/>
    <mergeCell ref="I19:I20"/>
    <mergeCell ref="E19:E22"/>
    <mergeCell ref="A27:A28"/>
    <mergeCell ref="H27:H28"/>
    <mergeCell ref="I27:I28"/>
    <mergeCell ref="Q27:Q28"/>
    <mergeCell ref="C23:C24"/>
    <mergeCell ref="D23:D24"/>
    <mergeCell ref="F23:F24"/>
    <mergeCell ref="I23:I24"/>
    <mergeCell ref="Q23:Q24"/>
    <mergeCell ref="A25:A26"/>
    <mergeCell ref="C25:C28"/>
    <mergeCell ref="D25:D28"/>
    <mergeCell ref="F25:F28"/>
    <mergeCell ref="H25:H26"/>
    <mergeCell ref="E23:E24"/>
    <mergeCell ref="H23:H24"/>
    <mergeCell ref="C29:C30"/>
    <mergeCell ref="D29:D30"/>
    <mergeCell ref="F29:F30"/>
    <mergeCell ref="C31:C32"/>
    <mergeCell ref="D31:D32"/>
    <mergeCell ref="F31:F32"/>
    <mergeCell ref="I25:I26"/>
    <mergeCell ref="Q25:Q26"/>
    <mergeCell ref="E25:E28"/>
    <mergeCell ref="E29:E30"/>
    <mergeCell ref="E31:E32"/>
    <mergeCell ref="I33:I34"/>
    <mergeCell ref="A36:A38"/>
    <mergeCell ref="C36:C38"/>
    <mergeCell ref="D36:D38"/>
    <mergeCell ref="F36:F38"/>
    <mergeCell ref="H36:H38"/>
    <mergeCell ref="A33:A34"/>
    <mergeCell ref="B33:B34"/>
    <mergeCell ref="C33:C34"/>
    <mergeCell ref="D33:D34"/>
    <mergeCell ref="F33:F34"/>
    <mergeCell ref="H33:H34"/>
    <mergeCell ref="E33:E34"/>
    <mergeCell ref="Q86:Q88"/>
    <mergeCell ref="A91:A92"/>
    <mergeCell ref="B91:B92"/>
    <mergeCell ref="C91:C92"/>
    <mergeCell ref="Q36:Q38"/>
    <mergeCell ref="B41:B42"/>
    <mergeCell ref="F41:F42"/>
    <mergeCell ref="A47:A48"/>
    <mergeCell ref="C47:C48"/>
    <mergeCell ref="F47:F48"/>
    <mergeCell ref="H47:H48"/>
    <mergeCell ref="I47:I48"/>
    <mergeCell ref="Q47:Q48"/>
    <mergeCell ref="E36:E38"/>
    <mergeCell ref="E41:E42"/>
    <mergeCell ref="D41:D42"/>
    <mergeCell ref="C41:C42"/>
    <mergeCell ref="C44:C46"/>
    <mergeCell ref="E47:E48"/>
    <mergeCell ref="E91:E92"/>
    <mergeCell ref="H91:H92"/>
    <mergeCell ref="Q57:Q58"/>
    <mergeCell ref="A60:A61"/>
    <mergeCell ref="C60:C61"/>
    <mergeCell ref="Q60:Q61"/>
    <mergeCell ref="E49:E50"/>
    <mergeCell ref="H57:H58"/>
    <mergeCell ref="F57:F58"/>
    <mergeCell ref="E57:E58"/>
    <mergeCell ref="I57:I58"/>
    <mergeCell ref="E60:E61"/>
    <mergeCell ref="A62:C65"/>
    <mergeCell ref="A73:C76"/>
    <mergeCell ref="A80:A81"/>
    <mergeCell ref="B80:B81"/>
    <mergeCell ref="C80:C81"/>
    <mergeCell ref="I80:I81"/>
    <mergeCell ref="D49:D50"/>
    <mergeCell ref="F49:F50"/>
    <mergeCell ref="A51:C55"/>
    <mergeCell ref="D91:D92"/>
    <mergeCell ref="F91:F92"/>
    <mergeCell ref="H80:H81"/>
    <mergeCell ref="Q91:Q92"/>
    <mergeCell ref="E98:E99"/>
    <mergeCell ref="F98:F99"/>
    <mergeCell ref="A143:C146"/>
    <mergeCell ref="A147:C151"/>
    <mergeCell ref="Q98:Q99"/>
    <mergeCell ref="A108:C111"/>
    <mergeCell ref="C113:C115"/>
    <mergeCell ref="A118:C121"/>
    <mergeCell ref="A98:A99"/>
    <mergeCell ref="B98:B99"/>
    <mergeCell ref="C98:C99"/>
    <mergeCell ref="D98:D99"/>
    <mergeCell ref="H98:H99"/>
    <mergeCell ref="I98:I99"/>
  </mergeCells>
  <conditionalFormatting sqref="L5">
    <cfRule type="cellIs" dxfId="6" priority="7" operator="notEqual">
      <formula>#REF!</formula>
    </cfRule>
  </conditionalFormatting>
  <conditionalFormatting sqref="L100 L6:L35 L37:L40 L47:L49 L43:L45">
    <cfRule type="cellIs" dxfId="5" priority="6" operator="notEqual">
      <formula>#REF!</formula>
    </cfRule>
  </conditionalFormatting>
  <conditionalFormatting sqref="K21">
    <cfRule type="cellIs" dxfId="4" priority="5" operator="notEqual">
      <formula>#REF!</formula>
    </cfRule>
  </conditionalFormatting>
  <conditionalFormatting sqref="L50">
    <cfRule type="cellIs" dxfId="3" priority="4" operator="notEqual">
      <formula>#REF!</formula>
    </cfRule>
  </conditionalFormatting>
  <conditionalFormatting sqref="L83:L84">
    <cfRule type="cellIs" dxfId="2" priority="3" operator="notEqual">
      <formula>#REF!</formula>
    </cfRule>
  </conditionalFormatting>
  <conditionalFormatting sqref="L101:L102">
    <cfRule type="cellIs" dxfId="1" priority="2" operator="notEqual">
      <formula>#REF!</formula>
    </cfRule>
  </conditionalFormatting>
  <conditionalFormatting sqref="K22">
    <cfRule type="cellIs" dxfId="0" priority="1" operator="notEqual">
      <formula>#REF!</formula>
    </cfRule>
  </conditionalFormatting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դեկտեմբեր2023</vt:lpstr>
      <vt:lpstr>հունվար</vt:lpstr>
      <vt:lpstr>փետրվոր</vt:lpstr>
      <vt:lpstr>մարտ</vt:lpstr>
      <vt:lpstr>ապրիլ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Karine Aghajanyan</dc:creator>
  <cp:lastModifiedBy>Lusine Grigoryan</cp:lastModifiedBy>
  <cp:lastPrinted>2024-03-04T11:18:40Z</cp:lastPrinted>
  <dcterms:created xsi:type="dcterms:W3CDTF">1996-10-14T23:33:28Z</dcterms:created>
  <dcterms:modified xsi:type="dcterms:W3CDTF">2025-05-16T11:42:26Z</dcterms:modified>
  <cp:keywords>https://mul2-minfin.gov.am/tasks/1003103/oneclick?token=6dea62ce3d6d2f3788b62256d9d7789b</cp:keywords>
</cp:coreProperties>
</file>