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95" windowWidth="15135" windowHeight="6225" activeTab="0"/>
  </bookViews>
  <sheets>
    <sheet name="Բյուջե-ամփոփ" sheetId="1" r:id="rId1"/>
    <sheet name="Sheet1" sheetId="2" r:id="rId2"/>
  </sheets>
  <definedNames>
    <definedName name="_xlnm.Print_Area" localSheetId="0">'Բյուջե-ամփոփ'!$A$1:$Q$47</definedName>
  </definedNames>
  <calcPr fullCalcOnLoad="1"/>
</workbook>
</file>

<file path=xl/sharedStrings.xml><?xml version="1.0" encoding="utf-8"?>
<sst xmlns="http://schemas.openxmlformats.org/spreadsheetml/2006/main" count="975" uniqueCount="380">
  <si>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</si>
  <si>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</si>
  <si>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</si>
  <si>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</si>
  <si>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</si>
  <si>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</si>
  <si>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</si>
  <si>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</si>
  <si>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</si>
  <si>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</si>
  <si>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</si>
  <si>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</si>
  <si>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</si>
  <si>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</si>
  <si>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</si>
  <si>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</si>
  <si>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</si>
  <si>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</si>
  <si>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</si>
  <si>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</si>
  <si>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</si>
  <si>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</si>
  <si>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</si>
  <si>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</si>
  <si>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</si>
  <si>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</si>
  <si>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</si>
  <si>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</si>
  <si>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</si>
  <si>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17</t>
  </si>
  <si>
    <t>18</t>
  </si>
  <si>
    <t xml:space="preserve"> ԱՄՆ կառավարության աջակցությամբ իրականացվող ՙՀազարամյակի մարտահրավեր՚ դրամաշնորհային ծրագիր </t>
  </si>
  <si>
    <t>հազ. դրամ</t>
  </si>
  <si>
    <t>2017 թվականի պետական բյուջեով նախատեսված Հայաստանի Հանրապետությանը տրամադրված դրամաշնորհների վերաբերյալ 31.03.2017թ. դրությամբ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</si>
  <si>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ծրագիր</t>
  </si>
  <si>
    <t>Դանիայի թագավորության աջակցությամբ իրականացվող  գյուղական կարողությունների ստեղծում  դրամաշնորհային ծրագիր</t>
  </si>
  <si>
    <t xml:space="preserve"> «Աջակցություն Հայաստանի Հանրապետության Կառավարությանը՝ ուղղված ԵՀՔ գործողությունների ծրագրի իրականացմանը և ապագա Ասոցիացման համաձայնագրի գծով նախապատրաստական աշխատանքներին փուլ 2» ֆինանսավորման համաձայնագրի» թիվ 1 լրացում </t>
  </si>
  <si>
    <t>«Աջակցություն Հայաստանում մարդու իրավուքների պաշտպանությանը» ԵՄ բյուջետային աջակցության ծրագրի Ֆինանսավորման համաձայնագրի նախագծի վերաբերյալ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</si>
  <si>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</si>
  <si>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 xml:space="preserve">Գյուղատնտեսության զարգացման միջազգային հիմնադրամի աջակցությամբիրականացվող &lt;&lt;Ենթակառուցվածքների և գյուղական ֆինանսավորման աջակցություն&gt;&gt; դրամաշնորհային ծրագիր </t>
  </si>
  <si>
    <t xml:space="preserve"> ՌԴ աջակցությամբ իրականացվող Հայկական ԱԷԿ-ի N 2 էներգաբլոկի շահագործման նախագծային ժամկետի երկարացման դրամաշնորհային ծրագիր</t>
  </si>
  <si>
    <t xml:space="preserve"> Համաշխարհային բանկի աջակցությամբ իրականացվող Երկրաջերմային հետախուզական հորատման դրամաշնորհային ծրագիր</t>
  </si>
  <si>
    <t xml:space="preserve"> 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</si>
  <si>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Եվրոպական միության Հարևանության Ներդրումային գործիքի աջակցությամբ իրականացվող «Կովկասյան էլեկտրահաղորդման ցանց I (Հայաստան-Վրաստան հաղորդիչ գիծ/ենթակայաններ)» դրամաշնորհային ծրագիր</t>
  </si>
  <si>
    <t xml:space="preserve"> Վերակառուցման և զարգացման եվրոպական բանկի աջակցությամբ իրականացվող ՀՀ պետական սահմանի Բագրատաշեն անցման կետի կամրջի վերակառուցման ծրագրի շրջանակներում խորհրդատվական ծառայությունների ձեռքբերման դրամաշնորհային ծրագիր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</si>
  <si>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</si>
  <si>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Արևելյան Եվրոպայի էներգախնայողության և բնապահպանական գործընկերության ֆոնդի աջակցությամբ իրականացվող Երևանի մետրոպոլիտենի վերակառուցման երրորդ դրամաշնորհային ծրագիր  (Երևան համայնքի ղեկավարին պետության կողմից պատվիրակված լիազորություն)</t>
  </si>
  <si>
    <t>Եվրոպական միության աջակցությամբ իրականացվող Հայաստանի տարածքային զարգացման դրամաշնորհային ծրագիր</t>
  </si>
  <si>
    <t xml:space="preserve">Համաշխարհային բանկի աջակցությամբ իրականացվող Սոցիալական ներդրումների և տեղական զարգացման դրամաշնորհային ծրագիր </t>
  </si>
  <si>
    <t xml:space="preserve"> Վերակառուցման և զարգացման եվրոպական բանկի աջակցությամբ իրականացվող «Կոտայքի մարզի կոշտ թափոնների կառավարման»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</si>
  <si>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</si>
  <si>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 xml:space="preserve">  Եվրոպական միության հարևանության ներդրումային գործիքի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</si>
  <si>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</si>
  <si>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</si>
  <si>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</si>
  <si>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</si>
  <si>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</si>
  <si>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</si>
  <si>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</si>
  <si>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</si>
  <si>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</si>
  <si>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</si>
  <si>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</si>
  <si>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</si>
  <si>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</si>
  <si>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 xml:space="preserve"> Վերակառուցման և զարգացման եվրոպական բանկի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</si>
  <si>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 xml:space="preserve"> Գերմանիայի զարգացման վարկերի բանկի  և Եվրոպական միության Հարևանության ներդրումային գործիքի աջակցությամբ իրականացվող ջրամատակարարման և ջրահեռացման ենթակառուցվածքների վերականգնման դրամաշնորհային  ծրագրի երրորդ փուլ</t>
  </si>
  <si>
    <t>Արևելյան Եվրոպայի էներգախնայողության և բնապահպանական գործընկերության ֆոնդի աջակցությամբ իրականացվող &lt;&lt;Երևանի քաղաքային լուսավորության&gt;&gt; դրամաշնորհային ծրագիր (Երևան համայնքի ղեկավարին պետության կողմից պատվիրակված լիազորություն)</t>
  </si>
  <si>
    <t>Վերակառուցման և զարգացման եվրոպական բանկի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</si>
  <si>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 xml:space="preserve"> ԱՄՆ Հիվանդությունների կանխարգելման և վերահսկման կենտրոնի աջակցությամբ իրականացվող Սեզոնային գրիպի համաճարակաբանական ցանցի հիմնման և արձագանքման դրամաշնորհային ծրագիր</t>
  </si>
  <si>
    <t xml:space="preserve"> Համաշխարհային բանկի աջակցությամբ իրականացվող Ոչ վարակիչ հիվանդությունների կանխարգելման և վերահսկման դրամաշնորհային ծրագիր</t>
  </si>
  <si>
    <t>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</si>
  <si>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 xml:space="preserve"> Գլոբալ հիմնադրամի աջակցությամբ իրականացվող &lt;&lt;Հայաստանի Հանրապետությունում ՄԻԱՎ/ՁԻԱՀ-ի դեմ պայքարի ազգային ծրագրին աջակցություն&gt;&gt; դրամաշնորհային ծրագիր</t>
  </si>
  <si>
    <t>Գերմանիայի զարգացման վարկերի բանկի աջակցությամբ իրականացվող «Հայջրմուղկոյուղի», «Շիրակ-ջրմուղկոյուղի», «Լոռի-ջրմուղկոյուղի» և «Նոր Ակունք» ՓԲԸ-ների մասնավոր կառավարման շարունակության ապահովում դրամաշնորհային ծրագիր</t>
  </si>
  <si>
    <t>Եվրոպական միության Հարևանության ներդրումային ծրագրի աջակցությամբ իրականացվող ՀՀ պետական սահմանի «Բագրատածեն»,«Բավրա» և «Գգոավան» անցման կետերի արդիականացման դրամաշնորհային ծրագիր</t>
  </si>
  <si>
    <t>Էլեկտրոնային մոնիթորինգի սարքավորումների փորձարկում քրեակատարողական հիմնարկների պիլոտային ստորաբաժանումներում դրամաշնորհային ծրագիր</t>
  </si>
  <si>
    <t>Հայաստանի ժողովրդագրության և առողջության հարցերի հետազոտություն</t>
  </si>
  <si>
    <t>Հայաստանում տուբերկուլյոզի դեմ պայքարի, մոր և մանկան առողջության և ընտանիքի պլանավորման  դրամաշնորհային ծրագիր</t>
  </si>
  <si>
    <t xml:space="preserve"> «Հանքարդյունաբերության ոլորտի թափանցիկության բարելավում» դրամաշնորհային ծրագիր</t>
  </si>
  <si>
    <t>1* ԱՄՆ Միջազգային զարգացման գործակալության աջակցությամբ իրականացվող Տեղական ինքնակառավարման բարեփոխումների դրամաշնորհային ծրագիր</t>
  </si>
  <si>
    <t>30</t>
  </si>
  <si>
    <t>* ՀՀ կառավարության  16.02.17 թիվ 129-Ն որոշում</t>
  </si>
  <si>
    <t>** ՀՀ կառավարության  23.02.17 թիվ 163-Ն որոշում</t>
  </si>
  <si>
    <t>31</t>
  </si>
  <si>
    <t>32</t>
  </si>
  <si>
    <t>*** ՀՀ կառավարության  02.03.17 թիվ 196-Ն որոշում</t>
  </si>
  <si>
    <t>4* Համաշխարհային բանկի աջակցությամբ իրականացվող Հայաստանի կենսապայմանների ամբողջացված հետազոտության ընդլայնման դրամաշնորհային ծրագիր</t>
  </si>
  <si>
    <t>**** ՀՀ կառավարության  02.03.17 թիվ 197-Ն որոշում</t>
  </si>
  <si>
    <t>35</t>
  </si>
  <si>
    <t xml:space="preserve">5* Գերմանիայի զարգացման վարկերի բանկի (KfW) կողմից տրամադրվող «Կովկասի պահպանվող տարածքների աջակցության ծրագիր Հայաստան (Էկոտարածաշրջանային ծրագիր-Հայաստան, 3-րդ փուլ)»  դրամաշնորհային ծրագիր                  </t>
  </si>
  <si>
    <t>5* ՀՀ կառավարության  02.03.17 թիվ 221-Ն որոշում</t>
  </si>
  <si>
    <t>36</t>
  </si>
  <si>
    <t>6* Սոցիալական ոլորտի բարեփոխումների» դրամաշնորհային ծրագիր</t>
  </si>
  <si>
    <t>6* ՀՀ կառավարության  23.03.17 թիվ 301-Ն որոշում</t>
  </si>
  <si>
    <t>7* ՀՀ կառավարության  30.03.17 թիվ 307-Ն որոշում</t>
  </si>
  <si>
    <t>2* Հայաստանի Հանրապետության տարածքային կառավարման և զարգացման նախարարության միգրացիոն պետական ծառայության և Նիդերլանդ-ների  անվտանգության և արդարադատության նախարարության միջև կնքված համաձայնագրի (Նիդերլանդներից վերադարձող Հայաստանի քաղաքա-ցիներին վերաինտեգրման օգնության շրջանակներում խորհրդատվության և ուղղորդման ծառայության մատուցման  մասին) դրամաշնորհային ծրագիր</t>
  </si>
  <si>
    <t xml:space="preserve">3* 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 </t>
  </si>
  <si>
    <t>4* Համաշխարհային բանկի աջակցությամբ իրականացվող Տեղական տնտեսության  ենթակառուցվածքի զարգացման դրամաշնորհային ծրագիր</t>
  </si>
  <si>
    <t>33</t>
  </si>
  <si>
    <t>34</t>
  </si>
  <si>
    <t>Ընդամենը արտաբյուջետային տրանսֆերտներ, այդ թվում`</t>
  </si>
  <si>
    <t xml:space="preserve">2017թ  </t>
  </si>
  <si>
    <t>Դանիայի թագավորության աջակցությամբ իրականացվող  գյուղական կարողությունների ստեղծում  2դրամաշնորհային ծրագիր</t>
  </si>
  <si>
    <t>37</t>
  </si>
  <si>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</si>
  <si>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</si>
  <si>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</si>
  <si>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</si>
  <si>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</si>
  <si>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</si>
  <si>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</si>
  <si>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</si>
  <si>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</si>
  <si>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</si>
  <si>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</si>
  <si>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</si>
  <si>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</si>
  <si>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</si>
  <si>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</si>
  <si>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</si>
  <si>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</si>
  <si>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</si>
  <si>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</si>
  <si>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</si>
  <si>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Չափի միավորը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</si>
  <si>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</si>
  <si>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</si>
  <si>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</si>
  <si>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</si>
  <si>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</si>
  <si>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</si>
  <si>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</si>
  <si>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</si>
  <si>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</si>
  <si>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Հոկտեմբեր 2011թ.</t>
  </si>
  <si>
    <t>ԱՄՆ կառավարություն</t>
  </si>
  <si>
    <t>Հազարամյակի մարտահրավեր դրամաշնորհային ծրագիր</t>
  </si>
  <si>
    <t>ՀՀ պետական բյուջե</t>
  </si>
  <si>
    <t xml:space="preserve">գանձապետական հաշիվներով </t>
  </si>
  <si>
    <t>խորհրդատվություն, ուսուցում և խորհրդատվական ծախսեր</t>
  </si>
  <si>
    <t>Ըստ պայմանագրի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</si>
  <si>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</si>
  <si>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</si>
  <si>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ՀՀ ՖՆ</t>
  </si>
  <si>
    <t>ՀՀ ՖՆ աշխատակազմի գործառնական վարչություն</t>
  </si>
  <si>
    <t>900000903410</t>
  </si>
  <si>
    <t>«Արտասահմանյան ֆինանսական ծրագրերի կառավարման կենտրոն</t>
  </si>
  <si>
    <t>ԱՄՆ դոլար և/կամ եվրո, հազ.դրամ</t>
  </si>
  <si>
    <t>TF00A4543</t>
  </si>
  <si>
    <t>Համաշխարհային բանկ</t>
  </si>
  <si>
    <t>գանձապետական հաշիվներով</t>
  </si>
  <si>
    <t>ապրանքներ, խորհրդատվական ծառայություններ, ներառյալ աուդիտ, վերապատրաստում և սեմինարներ</t>
  </si>
  <si>
    <t>TF0A3852</t>
  </si>
  <si>
    <t>28.12.2016</t>
  </si>
  <si>
    <t>Համաշխարհային բանկի աջակցությամբ իրականացվող Հայաստանի կենսապայմանների ամբողջացված հետազոտության ընդլայնման դրամաշնորհային ծրագիր</t>
  </si>
  <si>
    <t>TF0A1063</t>
  </si>
  <si>
    <t>13.11.2015</t>
  </si>
  <si>
    <t xml:space="preserve"> Համաշխարհային բանկի աջակցությամբ իրականացվող Տեղական տնտեսության  ենթակառուցվածքի զարգացման դրամաշնորհային ծրագիր</t>
  </si>
  <si>
    <t>SUPPL-COFIN DK-817AM</t>
  </si>
  <si>
    <t>23.12.2013թ.</t>
  </si>
  <si>
    <t>Դանիական Թագավորություն</t>
  </si>
  <si>
    <t>Դանիայի թագավորության աջակցությամբ իրականացվող  գյուղական կարողությունների ստեղծում /1/  դրամաշնորհային ծրագիր</t>
  </si>
  <si>
    <t>Համաձայն համաձայնագրի</t>
  </si>
  <si>
    <t>«Գյուղական տարածքների տնտեսական զարգացման» ԾԻԳ ՊՀ</t>
  </si>
  <si>
    <t>Երևան, Տիգրան Մեծ 4</t>
  </si>
  <si>
    <t>ՀՀ կառավարության աշխատակազմ</t>
  </si>
  <si>
    <t>04 02 01 25</t>
  </si>
  <si>
    <t>հազ.դրամ</t>
  </si>
  <si>
    <t>Դանիայի թագավորության աջակցությամբ իրականացվող  գյուղական կարողությունների ստեղծում /2/  դրամաշնորհային ծրագիր</t>
  </si>
  <si>
    <t>15.06.2016</t>
  </si>
  <si>
    <t>ԳԶՄՀ</t>
  </si>
  <si>
    <t>ՀՀ պետական  բյուջե</t>
  </si>
  <si>
    <t>Գանձապետական հաշիվներով</t>
  </si>
  <si>
    <t>12.11.2014</t>
  </si>
  <si>
    <t>05.02.2015</t>
  </si>
  <si>
    <t>ՌԴ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</si>
  <si>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</si>
  <si>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>Խորհրդատվություն և կարողությունների զարգացում</t>
  </si>
  <si>
    <t>ՀՀ էներգետիկայի և բնական պաշարների նախարարություն</t>
  </si>
  <si>
    <t>ք. Երևան,  Արմենակյան 129</t>
  </si>
  <si>
    <t>TF0A0544</t>
  </si>
  <si>
    <t>16.06.2015թ.</t>
  </si>
  <si>
    <t>Համաշխարհային բանկի աջակցությամբ իրականացվող Երկրաջերմային հետախուզական հորատման դրամաշնորհային ծրագիր</t>
  </si>
  <si>
    <t>ապրանքներ, աշխատանքներ և ծառայություններ</t>
  </si>
  <si>
    <t>TF0A0418</t>
  </si>
  <si>
    <t>05.06.2015թ.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</si>
  <si>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</si>
  <si>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30.05.2016</t>
  </si>
  <si>
    <t>Եվրոմիության Հանձնաժողով ( NIF գործիքների ներքո)</t>
  </si>
  <si>
    <t>Եվրոպական միության Հարևանության Ներդրումային գործիքի աջակցությամբ իրականացվող «Կովկասյան էլեկտրահաղորդման ցանց 1 (Հայաստան-Վրաստան հաղորդիչ գիծ/ ենթակայաններ)» դրամաշնորհային ծրագիր</t>
  </si>
  <si>
    <t>խորհրդատվություն,շենքեր, շինությունների կապիտալ վերանորոգմում և սարքավորումների ձեռք բերում</t>
  </si>
  <si>
    <t>ք. Երևան Զորավար Անդրանիկի 1</t>
  </si>
  <si>
    <t>«Բարձրավոլտ էլեկտրացանցեր» ՓԲԸ</t>
  </si>
  <si>
    <t>fi No 82.634 serias No 2010 0130</t>
  </si>
  <si>
    <t>18.11.2016</t>
  </si>
  <si>
    <t>Եվրոպական ներդրումային բանկ Լյուքսեմբուրգ</t>
  </si>
  <si>
    <t>Եվրոպական ներդրումային բանկի աջակցությամբ իրականացվող Հյուսիս-Հարավ տրանսպորտային միջանցքի ծրագիր (3-րդ տրանշ)</t>
  </si>
  <si>
    <t>ծառայություններ</t>
  </si>
  <si>
    <t>«Հյուսիս-Հարավ ճանապարհային միջանցքի ներդրումային ծրագրի իրականացման կազմակերպություն» ՊՈԱԿ</t>
  </si>
  <si>
    <t>ՀՀ ք. Երևան, Թումանյան 38</t>
  </si>
  <si>
    <t>ՀՀ տրանսպորտի և կապի նախարարություն</t>
  </si>
  <si>
    <t>10 40 18</t>
  </si>
  <si>
    <t>ՖՆ աշխատակազմի գործառնական վարչություն</t>
  </si>
  <si>
    <t>04 05 01</t>
  </si>
  <si>
    <t>28.10.2015</t>
  </si>
  <si>
    <t>Վերակառուցման և զարգացման եվրոպական ներդրումային բանկ</t>
  </si>
  <si>
    <t>Վերակառուցման և զարգացման եվրոպական բանկի աջակցությամբ իրականացվող ՀՀ պետական սահմանի Բագրատաշեն անցման կետի կամրջի վերակառուցման ծրագրի շրջանակներում խորհրդատվական ծառայությունների ձեռքբերման դրամաշնորհային ծրագիր</t>
  </si>
  <si>
    <t>28.09.14թ.</t>
  </si>
  <si>
    <t>ԵՄ Հարևանության Ներդրումային Ծրագիրը (ՀՆԾ)</t>
  </si>
  <si>
    <t>ապրանքներ, աշխատանքներ և խորհրդատվական ծառայություններ</t>
  </si>
  <si>
    <t>ըստ պայմանագրի</t>
  </si>
  <si>
    <t>Ըստ պայամանագրի</t>
  </si>
  <si>
    <t>Երևանի քաղաքապետարան</t>
  </si>
  <si>
    <t>Արգիշտի 1</t>
  </si>
  <si>
    <t>ՀՀ տարածքային կառավարման նախարարություն</t>
  </si>
  <si>
    <t>04 05 05 05</t>
  </si>
  <si>
    <t>&lt;&lt;Կարեն Դեմիրճյանի անվան Երևանի Մետրոպոլիտեն&gt;&gt; ՓԲԸ</t>
  </si>
  <si>
    <t>եվրո/հազ. դրամ</t>
  </si>
  <si>
    <t>Եվրոմիություն</t>
  </si>
  <si>
    <t>այլ ծախսեր</t>
  </si>
  <si>
    <t>ՀՀ տարածքային կառավարման և զարգացման նախարարություն</t>
  </si>
  <si>
    <t>Հանրապետության հրապարակ, Կառա տուն 3</t>
  </si>
  <si>
    <t>ՀՀ կառավարություն</t>
  </si>
  <si>
    <t>TFOA3230</t>
  </si>
  <si>
    <t>23.09.2016</t>
  </si>
  <si>
    <t>ՀՀ տարածքներին զարգացմանն ուղղված միջոցառումներ</t>
  </si>
  <si>
    <t>ՀՀ կառավարության աշխատակազմ ՊԿՀ</t>
  </si>
  <si>
    <t>ՀՀ կառավարական շենք 0</t>
  </si>
  <si>
    <t>Տարածքային զարգացման հիմնադրամ</t>
  </si>
  <si>
    <t>Վերակառուցման և զարգացման եվրոպական բանկ</t>
  </si>
  <si>
    <t>Վերակառուցման և զարգացման եվրոպական բանկի աջակցությամբ իրականացվող «Կոտայքի մարզի կոշտ թափոնների կառավարման» դրամաշնորհային ծրագիր</t>
  </si>
  <si>
    <t>C33999/677/8302</t>
  </si>
  <si>
    <t>01.07.16</t>
  </si>
  <si>
    <t>08.04.2016</t>
  </si>
  <si>
    <t>Վերակառուցման և զարգացման եվրոպական բանկ (ՎԶԵԲ)</t>
  </si>
  <si>
    <t xml:space="preserve">Գերմանիայի զարգացման և Եվրոպական միության հարևանության ներդրումային բանկ </t>
  </si>
  <si>
    <t xml:space="preserve"> Եվրոպական միության հարևանության ներդրումային գործիքի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</si>
  <si>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Այլ ծախսեր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</si>
  <si>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</si>
  <si>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06.06.2014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</si>
  <si>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 (Երևան համայնքի ղեկավարին պետության կողմից պատվիրակված լիազորություն)</t>
  </si>
  <si>
    <t>24.06.2015թ.</t>
  </si>
  <si>
    <t>Վերակառուցման և զարգացման եվրոպական բանկի աջակցությամբ իրականացվող Երևանի ջրամատակարարման բարելավման դրամաշնորհային ծրագիր (Երևանի համայնքի ղեկավարին պետության կողմից պատվիրակված լիազորություն)</t>
  </si>
  <si>
    <t>06 03 01 30</t>
  </si>
  <si>
    <t>2020 61554</t>
  </si>
  <si>
    <t>08.12.2015թ.</t>
  </si>
  <si>
    <t>ՀՀ ՏԿՆ ջրային տնտեսության պետական կոմիտե</t>
  </si>
  <si>
    <t>ք.Երևան, Վարդանանց 13ա</t>
  </si>
  <si>
    <t>06 03 01 18</t>
  </si>
  <si>
    <t>«Հայջրմուղկոյուղի» ՓԲԸ</t>
  </si>
  <si>
    <t>22.08.15</t>
  </si>
  <si>
    <t>Վերակառուցման և զարգացման բանկ (ՎԶԵԲ)</t>
  </si>
  <si>
    <t>Դրամաշնորհ TF 5U51POO0520-05</t>
  </si>
  <si>
    <t>01.01.2016</t>
  </si>
  <si>
    <t>ԱՄՆ Հիվանդությունների կանխարգելման և վերահսկման կենտրոն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</si>
  <si>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</si>
  <si>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</si>
  <si>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Շիրվանզադե 17</t>
  </si>
  <si>
    <t>ՀՀ Առողջապահության նախարարություն</t>
  </si>
  <si>
    <t>Առողջապահական ԾԻԳ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</si>
  <si>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</si>
  <si>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</si>
  <si>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</si>
  <si>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</si>
  <si>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09.12.2015թ</t>
  </si>
  <si>
    <t>Գլոբալ հիմնադրամ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</si>
  <si>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</si>
  <si>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ՀՀ առողջապահության նախարարություն</t>
  </si>
  <si>
    <t>Կառավարության 3 շենք</t>
  </si>
  <si>
    <t>ՀՀ առողջապահության նախարարության Գլոբալ Հիմնադրամի ծրագրերը համակարգող խումբ</t>
  </si>
  <si>
    <t>11.12.2015թ</t>
  </si>
  <si>
    <t>Գլոբալ հիմնադրամի աջակցությամբ իրականացվող &lt;&lt;Հայաստանի Հանրապետությունում ՄԻԱՎ/ՁԻԱՀ-ի դեմ պայքարի ազգային ծրագրին աջակցություն&gt;&gt; դրամաշնորհային ծրագիր</t>
  </si>
  <si>
    <t>111-IL-15-0003</t>
  </si>
  <si>
    <t>10.08.2016</t>
  </si>
  <si>
    <t>ԱՄՆ Միջազգային զարգացման գործակալության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</si>
  <si>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</si>
  <si>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խոշորացված համայնքներին աջակցություն</t>
  </si>
  <si>
    <t>ՀՀ կառավարական շենք 1</t>
  </si>
  <si>
    <t>01.07.2015թ.</t>
  </si>
  <si>
    <t>Նիդեռլանդների թագավորության անվտանգության և արդարադատության նախարարության հայրենադարձության և մեկնման ծառայություն</t>
  </si>
  <si>
    <t xml:space="preserve"> ՀՀ ՏԿՆ և արտակարգ իրավիճակների նախարարության միգրացիոն պետական ծառայության և Նիդերլանդների անվտանգության և արդարադատության նախարարության միջև կնքված համաձայնագրի (Նիդերլանդներից վերադարձող Հայաստանի քաղաքացիներին վերաինտեգրման օգնության շրջանակներում խորհրդատվության և ուղղորդման ծառայության մատուցման մասին) դրամաշնորհային ծրագիր</t>
  </si>
  <si>
    <t>վարչական սարքավորումներ</t>
  </si>
  <si>
    <t xml:space="preserve">ՀՀ ՏԿԱԻՆ միգրացիոն պետական ծառայություն </t>
  </si>
  <si>
    <t>ք.Երևան, Հր. Քոչար 4</t>
  </si>
  <si>
    <t>Գերմանիայի զարգացման վարկերի բանկի  աջակցությամբ իրականացվող  ցանց 1 (Հայաստան-Վրաստան  էլեկտրահաղորդման  գիծ» դրամաշնորհային ծրագիր</t>
  </si>
  <si>
    <t>ՀՀ բնապահպանության նախարարություն</t>
  </si>
  <si>
    <t>BMZ-N 2013.70 170 N2020 60 721</t>
  </si>
  <si>
    <t>27.12.2013թ.</t>
  </si>
  <si>
    <t>KFW</t>
  </si>
  <si>
    <t>27.08.2012թ.</t>
  </si>
  <si>
    <t xml:space="preserve">Եվրոպական միության  Հարևանության ներդրումային ծրագիր </t>
  </si>
  <si>
    <t>շենքերի և շինությունների շինարարություն</t>
  </si>
  <si>
    <t>ՀՀ ԿԱ պետական եկամուտների կոմիտե</t>
  </si>
  <si>
    <t>ք» Երևան, Մ Խորենացու 3,7</t>
  </si>
  <si>
    <t>ՀՀ ֆն գործառնական վարչություն</t>
  </si>
  <si>
    <t>Միավորված ազգերի զարգացման ծրագիր</t>
  </si>
  <si>
    <t>Ընդամենը</t>
  </si>
  <si>
    <t>BMZ-2004.70153</t>
  </si>
  <si>
    <t>24.11.2004</t>
  </si>
  <si>
    <t>KFW, ԳԴՀ բանկ</t>
  </si>
  <si>
    <t>Վերականգնվող էներգիայի աջակցում</t>
  </si>
  <si>
    <t>ՀՀ կենտրոնական բանկ</t>
  </si>
  <si>
    <t>գանձապետական հաշիվներից դուրս</t>
  </si>
  <si>
    <t>Օժանդակ միջոցներ տեխնիկական աջակցություն</t>
  </si>
  <si>
    <t xml:space="preserve">Որպես դրամաշնորհի պայամանագրային գումար հաշվարկված է 2.000.000Եվրո  գումարին համարժեք ՀՀ դրամ 30.06.2015 դրությամբ 531.36 </t>
  </si>
  <si>
    <t>&lt;&lt;Գերմանական հիմնադրամ &gt;&gt; ԾԿԳ</t>
  </si>
  <si>
    <t>Վ.Սարգսյան 6, 0010 ք. Երևան</t>
  </si>
  <si>
    <t>«Գերմանահայկական հիմնադրամ» ԾԿԳ</t>
  </si>
  <si>
    <t>FIMS PO 475038</t>
  </si>
  <si>
    <t>22.07.15թ.</t>
  </si>
  <si>
    <t>Եվրոպայի խորհուրդ</t>
  </si>
  <si>
    <t>արտաբյուջե</t>
  </si>
  <si>
    <t>Ընթացիկ այլ ծախսեր</t>
  </si>
  <si>
    <t>ՀՀ արդարադատության նախարարության «Ծրագրերի իրականացման գրասենյակ» ՊՀ</t>
  </si>
  <si>
    <t>03.05.01</t>
  </si>
  <si>
    <t>ՀՀ արդարադատության նախարարություն</t>
  </si>
  <si>
    <t>ՀՀ ՖՆ գործառնական վարչություն</t>
  </si>
  <si>
    <t>90000 11474310</t>
  </si>
  <si>
    <t>«Դատաիրավական ծրագրերի իրականացման գրասենյակ» ՊՀ</t>
  </si>
  <si>
    <t>AAA-111-G-10-002</t>
  </si>
  <si>
    <t>15.06.15թ.</t>
  </si>
  <si>
    <t>ԱՄՆ-ի միջազգային զարգացման գործակալություն</t>
  </si>
  <si>
    <t>Աշխողների աշխատավարձ, ներքին գործուղումներ, տպագրական ծառայություններ</t>
  </si>
  <si>
    <t>ՀՀ Ազգային վիճակագրական ծառայություն</t>
  </si>
  <si>
    <t>ք. Երևան, Կառավարական 3շենք</t>
  </si>
  <si>
    <t>ՀՀ ԱՎԾ</t>
  </si>
  <si>
    <t>900001300003</t>
  </si>
  <si>
    <t>07.08.2015թ.</t>
  </si>
  <si>
    <t>ԱՄՆ ՄԶԳ</t>
  </si>
  <si>
    <t>111-IL-16-00011</t>
  </si>
  <si>
    <t>12.11.2015</t>
  </si>
  <si>
    <t>Կառավարության 1 շենք</t>
  </si>
  <si>
    <t>11.04.2016թ.</t>
  </si>
  <si>
    <t>ԱՄՆ Միջազգային Զարգացման Գործակալություն (ԱՄՆ ՄԶԳ)</t>
  </si>
  <si>
    <t>Այբիեմ համակարգի ձեռքբերում,ինտեգրված ծառայությունների հզորացման և սոցիալական բարեփոխումների իրականացում,Այլ ընտրանքային ծառայությունների նոր և ցրեկային խնամքի կենտրոններիկառուցման կամ վերանորոգման շինմոնտաժային աշխատանքների իրականացում</t>
  </si>
  <si>
    <t>ՀՀ աշխատանքի և սոցիալական հարցերի նախարարություն</t>
  </si>
  <si>
    <t>AAA-111-G-13-001</t>
  </si>
  <si>
    <t>05.02.2016</t>
  </si>
  <si>
    <t>ԱՄՆ ՄԶԳ (USAID)</t>
  </si>
  <si>
    <t xml:space="preserve"> «Օժանդակություն Հայաստանի հակակոռուպցիոն ռազմավարության իրականացմանը» դրամաշնորհային ծրագիր</t>
  </si>
  <si>
    <t>ՀՀ կառավարական շենք 3</t>
  </si>
  <si>
    <t>21.10.2016</t>
  </si>
  <si>
    <t>ՄԱԿ-ի շրջակա միջավայրի ծրագիր ՅՈՒՆԵՊ</t>
  </si>
  <si>
    <t>Հըայաստան/ՄԱԿ-ի շրջակա միջավայրի ծրագրի գործընկերության ներգրավումը քիմիկատներիի օրենսդրության և արդյունաբերության զարգացմանը</t>
  </si>
  <si>
    <t>Այլ</t>
  </si>
  <si>
    <t>Աջակցություն օրենսդրության և արդյունաբերության զարգացմանը</t>
  </si>
  <si>
    <t>ք. Երևան 0047, Չարենցի 46</t>
  </si>
  <si>
    <t>ՀՀ Բնապահպանության նախարարություն</t>
  </si>
  <si>
    <t>եվրո</t>
  </si>
  <si>
    <t>15.03.2015</t>
  </si>
  <si>
    <t>ՄԱԿ-ի ՇՄ ծրագրի և Դանիայի տեխնիկական համալսարանի համագործակցություն</t>
  </si>
  <si>
    <t>Տեխնոլոգիաների կարիքների գնահատում</t>
  </si>
  <si>
    <t>Կլիմայի գլոբալ փոփոխության հետևանքների դեմ հարմարվողականության և մեղմման տեխնոլոգիաների մշակում</t>
  </si>
  <si>
    <t>Բնապահպանական ծրագրերի իրականացման գրասենյակ</t>
  </si>
  <si>
    <t>ք. Երևան 0047, Ա. Արմենակյան 129</t>
  </si>
  <si>
    <t>15.03.2017</t>
  </si>
  <si>
    <t>Հարավային Կովկասի Բնության Հիմնադրամ</t>
  </si>
  <si>
    <t>Արփի լիճ ազգային պարկի դրամաշնորհային  ծրագիր</t>
  </si>
  <si>
    <t>Համակարգչային տեխնիկայի ձեռք բերում</t>
  </si>
  <si>
    <t>12.03.2015</t>
  </si>
  <si>
    <t>Խոսրովի պետական արգելոցի դրամաշնորհային ծրագիր</t>
  </si>
  <si>
    <t>Որոշակի ԱՊՏ-ի ընթացիկ ծախսերի ֆինանսավորում</t>
  </si>
  <si>
    <t>,,Երևանի թիվ 1 տուն_ ինտերնատ,,ՊՈԱԿ-ի տարածքում անկողնային խնամք ստացող անձանց սպասարկման  նպատակով կառուցվելիք նոր մասնաշենքի շինարարական աշխատանքների իրականացում:</t>
  </si>
  <si>
    <t>շինարարական աշխատանքներ կատարման, գույքի,տրանսպորտային միջոցների, սարքեր ևսարքավորումների  և այլ պարագաների ձեռք բերման աշխատանքներ</t>
  </si>
  <si>
    <t>«Առկա լավագույն տեխնոլոգիայի կամ բնապահպանական իմաստով լավագույն տնտեսական գործունեության մեթոդաբանության կիրառումը՝ բաց այրման աղբյուրներից կայուն օրգանական աղտոտիչների ոչ կանխամտածված արտանետումների նվազեցման համար»</t>
  </si>
  <si>
    <t>Ոչ կանխամտածված առաջաջացող դիօքսինների արտանետումների գույքագրման անցկացում՝ հատուկ ուշադրություն դարձնելով կազմակերպված և ոչ կազմակերպված աղբավայրերին</t>
  </si>
  <si>
    <t>2017 թվականի պետական բյուջեով նախատեսված Հայաստանի Հանրապետությանը տրամադրված դրամաշնորհների վերաբերյալ 30.06.2017թ. դրությամբ</t>
  </si>
  <si>
    <t>01.04.2017-30.06.2017թթ. ժամանակահատվածի համար</t>
  </si>
  <si>
    <t>38</t>
  </si>
  <si>
    <t>Վերակառուցման և զարգացման եվրոպական բանկ Հայաստանի ջրային ներդրումային ծրագրի անցումային խորդհատուի ընտրություն</t>
  </si>
  <si>
    <t>22.07.2015թ.</t>
  </si>
  <si>
    <t>C31323/EEBSF-2015-02-18</t>
  </si>
  <si>
    <t>8*Վերակառուցման և զարգացման եվրոպական բանկ Հայաստանի ջրային ներդրումային ծրագրի անցումային խորդհատուի ընտրություն</t>
  </si>
  <si>
    <t>8* ՀՀ կառավարության  01.06.17 թիվ 596-Ն որոշում</t>
  </si>
  <si>
    <t>ԱՄՆ դոլար   475.36</t>
  </si>
  <si>
    <t>Եվրո            522.66</t>
  </si>
  <si>
    <t>9* ՀՀ կառավարության  20.07.17 թիվ 849-Ն որոշում</t>
  </si>
  <si>
    <t>9* Օժանդակություն Հայաստանի հակակոռուպցիոն ռազմավարության իրականացմանը դրամաշնորհային ծրագիր</t>
  </si>
  <si>
    <t>8* Եվրոպական ներդրումային բանկի աջակցությամբ իրականացվող Հյուսիս-հարավ տրանսպորտային միջանցքի զարգացման դրամաշնորհային ծրագիր (Տրանշ 3)</t>
  </si>
  <si>
    <t>6* Հայաստանի ժողովրդագրության և առողջության հարցերի հետազոտություն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</si>
</sst>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  <numFmt numFmtId="191" formatCode="[$-409]h:mm:ss\ AM/PM"/>
    <numFmt numFmtId="192" formatCode="_(* #,##0.000_);_(* \(#,##0.000\);_(* &quot;-&quot;?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name val="GHEA Grapalat"/>
      <family val="3"/>
    </font>
    <font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9" fontId="2" fillId="33" borderId="0" xfId="42" applyNumberFormat="1" applyFont="1" applyFill="1" applyBorder="1" applyAlignment="1">
      <alignment/>
    </xf>
    <xf numFmtId="43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33" borderId="10" xfId="58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vertical="center"/>
      <protection/>
    </xf>
    <xf numFmtId="43" fontId="2" fillId="33" borderId="0" xfId="42" applyFont="1" applyFill="1" applyBorder="1" applyAlignment="1">
      <alignment/>
    </xf>
    <xf numFmtId="174" fontId="2" fillId="33" borderId="0" xfId="0" applyNumberFormat="1" applyFont="1" applyFill="1" applyBorder="1" applyAlignment="1">
      <alignment vertical="center" wrapText="1"/>
    </xf>
    <xf numFmtId="183" fontId="3" fillId="33" borderId="10" xfId="58" applyNumberFormat="1" applyFont="1" applyFill="1" applyBorder="1" applyAlignment="1">
      <alignment vertical="center"/>
      <protection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58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vertical="center"/>
      <protection/>
    </xf>
    <xf numFmtId="183" fontId="3" fillId="33" borderId="10" xfId="58" applyNumberFormat="1" applyFont="1" applyFill="1" applyBorder="1" applyAlignment="1">
      <alignment horizontal="center" vertical="center"/>
      <protection/>
    </xf>
    <xf numFmtId="183" fontId="3" fillId="33" borderId="11" xfId="58" applyNumberFormat="1" applyFont="1" applyFill="1" applyBorder="1" applyAlignment="1">
      <alignment horizontal="center" vertical="center"/>
      <protection/>
    </xf>
    <xf numFmtId="49" fontId="7" fillId="33" borderId="12" xfId="1" applyNumberFormat="1" applyFont="1" applyFill="1" applyBorder="1" applyAlignment="1">
      <alignment horizontal="left" vertical="center" wrapText="1"/>
    </xf>
    <xf numFmtId="172" fontId="2" fillId="33" borderId="10" xfId="1" applyNumberFormat="1" applyFont="1" applyFill="1" applyBorder="1" applyAlignment="1">
      <alignment horizontal="left" vertical="center" wrapText="1"/>
    </xf>
    <xf numFmtId="180" fontId="7" fillId="33" borderId="10" xfId="58" applyNumberFormat="1" applyFont="1" applyFill="1" applyBorder="1" applyAlignment="1">
      <alignment horizontal="center" vertical="center"/>
      <protection/>
    </xf>
    <xf numFmtId="174" fontId="7" fillId="33" borderId="10" xfId="58" applyNumberFormat="1" applyFont="1" applyFill="1" applyBorder="1" applyAlignment="1">
      <alignment horizontal="center" vertical="center"/>
      <protection/>
    </xf>
    <xf numFmtId="174" fontId="7" fillId="33" borderId="10" xfId="58" applyNumberFormat="1" applyFont="1" applyFill="1" applyBorder="1" applyAlignment="1">
      <alignment horizontal="right" vertical="center"/>
      <protection/>
    </xf>
    <xf numFmtId="174" fontId="7" fillId="33" borderId="11" xfId="58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/>
    </xf>
    <xf numFmtId="174" fontId="7" fillId="33" borderId="11" xfId="58" applyNumberFormat="1" applyFont="1" applyFill="1" applyBorder="1" applyAlignment="1">
      <alignment horizontal="right" vertical="center"/>
      <protection/>
    </xf>
    <xf numFmtId="183" fontId="2" fillId="33" borderId="10" xfId="58" applyNumberFormat="1" applyFont="1" applyFill="1" applyBorder="1" applyAlignment="1">
      <alignment vertical="center"/>
      <protection/>
    </xf>
    <xf numFmtId="183" fontId="2" fillId="33" borderId="10" xfId="42" applyNumberFormat="1" applyFont="1" applyFill="1" applyBorder="1" applyAlignment="1">
      <alignment vertical="center"/>
    </xf>
    <xf numFmtId="183" fontId="2" fillId="33" borderId="10" xfId="42" applyNumberFormat="1" applyFont="1" applyFill="1" applyBorder="1" applyAlignment="1">
      <alignment horizontal="center" vertical="center"/>
    </xf>
    <xf numFmtId="183" fontId="2" fillId="33" borderId="11" xfId="42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horizontal="left" vertical="center" wrapText="1"/>
      <protection/>
    </xf>
    <xf numFmtId="174" fontId="4" fillId="33" borderId="0" xfId="0" applyNumberFormat="1" applyFont="1" applyFill="1" applyBorder="1" applyAlignment="1">
      <alignment/>
    </xf>
    <xf numFmtId="0" fontId="6" fillId="33" borderId="0" xfId="57" applyFont="1" applyFill="1" applyBorder="1" applyAlignment="1">
      <alignment vertical="center"/>
      <protection/>
    </xf>
    <xf numFmtId="49" fontId="2" fillId="33" borderId="12" xfId="1" applyNumberFormat="1" applyFont="1" applyFill="1" applyBorder="1" applyAlignment="1">
      <alignment horizontal="center" vertical="center" wrapText="1"/>
    </xf>
    <xf numFmtId="183" fontId="3" fillId="33" borderId="13" xfId="58" applyNumberFormat="1" applyFont="1" applyFill="1" applyBorder="1" applyAlignment="1">
      <alignment vertical="center"/>
      <protection/>
    </xf>
    <xf numFmtId="183" fontId="3" fillId="33" borderId="14" xfId="58" applyNumberFormat="1" applyFont="1" applyFill="1" applyBorder="1" applyAlignment="1">
      <alignment vertical="center"/>
      <protection/>
    </xf>
    <xf numFmtId="183" fontId="3" fillId="33" borderId="15" xfId="58" applyNumberFormat="1" applyFont="1" applyFill="1" applyBorder="1" applyAlignment="1">
      <alignment vertical="center"/>
      <protection/>
    </xf>
    <xf numFmtId="183" fontId="3" fillId="33" borderId="16" xfId="58" applyNumberFormat="1" applyFont="1" applyFill="1" applyBorder="1" applyAlignment="1">
      <alignment vertical="center"/>
      <protection/>
    </xf>
    <xf numFmtId="183" fontId="3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43" fontId="11" fillId="33" borderId="10" xfId="42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3" fontId="12" fillId="33" borderId="10" xfId="42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3" fontId="10" fillId="33" borderId="10" xfId="42" applyFont="1" applyFill="1" applyBorder="1" applyAlignment="1">
      <alignment horizontal="center" vertical="center" wrapText="1"/>
    </xf>
    <xf numFmtId="172" fontId="10" fillId="33" borderId="10" xfId="44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72" fontId="12" fillId="33" borderId="10" xfId="44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3" fontId="11" fillId="33" borderId="10" xfId="0" applyNumberFormat="1" applyFont="1" applyFill="1" applyBorder="1" applyAlignment="1">
      <alignment horizontal="center" vertical="center" wrapText="1"/>
    </xf>
    <xf numFmtId="43" fontId="13" fillId="33" borderId="10" xfId="42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43" fontId="12" fillId="33" borderId="18" xfId="42" applyFont="1" applyFill="1" applyBorder="1" applyAlignment="1">
      <alignment horizontal="center" vertical="center" wrapText="1"/>
    </xf>
    <xf numFmtId="172" fontId="10" fillId="33" borderId="18" xfId="44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183" fontId="3" fillId="33" borderId="11" xfId="58" applyNumberFormat="1" applyFont="1" applyFill="1" applyBorder="1" applyAlignment="1">
      <alignment vertical="center"/>
      <protection/>
    </xf>
    <xf numFmtId="49" fontId="2" fillId="33" borderId="20" xfId="1" applyNumberFormat="1" applyFont="1" applyFill="1" applyBorder="1" applyAlignment="1">
      <alignment horizontal="center" vertical="center" wrapText="1"/>
    </xf>
    <xf numFmtId="172" fontId="2" fillId="33" borderId="21" xfId="1" applyNumberFormat="1" applyFont="1" applyFill="1" applyBorder="1" applyAlignment="1">
      <alignment horizontal="left" vertical="center" wrapText="1"/>
    </xf>
    <xf numFmtId="183" fontId="2" fillId="33" borderId="21" xfId="58" applyNumberFormat="1" applyFont="1" applyFill="1" applyBorder="1" applyAlignment="1">
      <alignment vertical="center"/>
      <protection/>
    </xf>
    <xf numFmtId="183" fontId="2" fillId="33" borderId="21" xfId="42" applyNumberFormat="1" applyFont="1" applyFill="1" applyBorder="1" applyAlignment="1">
      <alignment vertical="center"/>
    </xf>
    <xf numFmtId="183" fontId="2" fillId="33" borderId="21" xfId="42" applyNumberFormat="1" applyFont="1" applyFill="1" applyBorder="1" applyAlignment="1">
      <alignment horizontal="center" vertical="center"/>
    </xf>
    <xf numFmtId="183" fontId="2" fillId="33" borderId="22" xfId="42" applyNumberFormat="1" applyFont="1" applyFill="1" applyBorder="1" applyAlignment="1">
      <alignment horizontal="center" vertical="center"/>
    </xf>
    <xf numFmtId="49" fontId="2" fillId="33" borderId="10" xfId="1" applyNumberFormat="1" applyFont="1" applyFill="1" applyBorder="1" applyAlignment="1">
      <alignment horizontal="center" vertical="center" wrapText="1"/>
    </xf>
    <xf numFmtId="183" fontId="2" fillId="33" borderId="11" xfId="0" applyNumberFormat="1" applyFont="1" applyFill="1" applyBorder="1" applyAlignment="1">
      <alignment/>
    </xf>
    <xf numFmtId="183" fontId="2" fillId="33" borderId="11" xfId="0" applyNumberFormat="1" applyFont="1" applyFill="1" applyBorder="1" applyAlignment="1">
      <alignment horizontal="center" vertical="center" wrapText="1"/>
    </xf>
    <xf numFmtId="183" fontId="2" fillId="33" borderId="23" xfId="42" applyNumberFormat="1" applyFont="1" applyFill="1" applyBorder="1" applyAlignment="1">
      <alignment horizontal="center" vertical="center"/>
    </xf>
    <xf numFmtId="49" fontId="2" fillId="33" borderId="17" xfId="1" applyNumberFormat="1" applyFont="1" applyFill="1" applyBorder="1" applyAlignment="1">
      <alignment horizontal="center" vertical="center" wrapText="1"/>
    </xf>
    <xf numFmtId="0" fontId="2" fillId="33" borderId="18" xfId="56" applyFont="1" applyFill="1" applyBorder="1" applyAlignment="1">
      <alignment horizontal="left" vertical="center" wrapText="1"/>
      <protection/>
    </xf>
    <xf numFmtId="183" fontId="2" fillId="33" borderId="18" xfId="58" applyNumberFormat="1" applyFont="1" applyFill="1" applyBorder="1" applyAlignment="1">
      <alignment vertical="center"/>
      <protection/>
    </xf>
    <xf numFmtId="183" fontId="2" fillId="33" borderId="18" xfId="42" applyNumberFormat="1" applyFont="1" applyFill="1" applyBorder="1" applyAlignment="1">
      <alignment vertical="center"/>
    </xf>
    <xf numFmtId="183" fontId="2" fillId="33" borderId="18" xfId="42" applyNumberFormat="1" applyFont="1" applyFill="1" applyBorder="1" applyAlignment="1">
      <alignment horizontal="center" vertical="center"/>
    </xf>
    <xf numFmtId="183" fontId="2" fillId="33" borderId="19" xfId="42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44" fontId="10" fillId="33" borderId="10" xfId="44" applyFont="1" applyFill="1" applyBorder="1" applyAlignment="1">
      <alignment horizontal="center" vertical="center" wrapText="1"/>
    </xf>
    <xf numFmtId="172" fontId="12" fillId="33" borderId="10" xfId="42" applyNumberFormat="1" applyFont="1" applyFill="1" applyBorder="1" applyAlignment="1">
      <alignment horizontal="center" vertical="center" wrapText="1"/>
    </xf>
    <xf numFmtId="43" fontId="12" fillId="33" borderId="10" xfId="42" applyNumberFormat="1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 quotePrefix="1">
      <alignment horizontal="center" vertical="center" wrapText="1"/>
    </xf>
    <xf numFmtId="0" fontId="12" fillId="33" borderId="10" xfId="0" applyFont="1" applyFill="1" applyBorder="1" applyAlignment="1" quotePrefix="1">
      <alignment horizontal="center" vertical="center" wrapText="1"/>
    </xf>
    <xf numFmtId="43" fontId="10" fillId="33" borderId="10" xfId="42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72" fontId="10" fillId="33" borderId="10" xfId="42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21" xfId="42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72" fontId="3" fillId="33" borderId="22" xfId="42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20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1" xfId="55" applyFont="1" applyFill="1" applyBorder="1" applyAlignment="1">
      <alignment horizontal="center" vertical="center" textRotation="90" wrapText="1"/>
      <protection/>
    </xf>
    <xf numFmtId="0" fontId="11" fillId="33" borderId="10" xfId="55" applyFont="1" applyFill="1" applyBorder="1" applyAlignment="1">
      <alignment horizontal="center" vertical="center" textRotation="90" wrapText="1"/>
      <protection/>
    </xf>
    <xf numFmtId="0" fontId="10" fillId="33" borderId="21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1" fillId="33" borderId="21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horizontal="center" vertical="center" textRotation="90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 wrapText="1"/>
    </xf>
    <xf numFmtId="49" fontId="11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RANQACANK Hashvetv" xfId="55"/>
    <cellStyle name="Normal_Grants quartal" xfId="56"/>
    <cellStyle name="Normal_Transfert" xfId="57"/>
    <cellStyle name="Normal_transfert-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70" zoomScaleNormal="70" zoomScalePageLayoutView="0" workbookViewId="0" topLeftCell="A4">
      <pane ySplit="8" topLeftCell="A12" activePane="bottomLeft" state="frozen"/>
      <selection pane="topLeft" activeCell="B4" sqref="B4"/>
      <selection pane="bottomLeft" activeCell="B5" sqref="B5"/>
    </sheetView>
  </sheetViews>
  <sheetFormatPr defaultColWidth="9.140625" defaultRowHeight="12.75"/>
  <cols>
    <col min="1" max="1" width="5.8515625" style="1" customWidth="1"/>
    <col min="2" max="2" width="133.7109375" style="10" customWidth="1"/>
    <col min="3" max="3" width="23.8515625" style="10" customWidth="1"/>
    <col min="4" max="4" width="24.421875" style="10" bestFit="1" customWidth="1"/>
    <col min="5" max="5" width="23.8515625" style="10" customWidth="1"/>
    <col min="6" max="6" width="22.00390625" style="1" customWidth="1"/>
    <col min="7" max="7" width="22.57421875" style="1" customWidth="1"/>
    <col min="8" max="8" width="21.140625" style="1" bestFit="1" customWidth="1"/>
    <col min="9" max="9" width="22.00390625" style="1" customWidth="1"/>
    <col min="10" max="10" width="27.8515625" style="1" customWidth="1"/>
    <col min="11" max="11" width="21.7109375" style="1" customWidth="1"/>
    <col min="12" max="12" width="23.7109375" style="1" customWidth="1"/>
    <col min="13" max="13" width="21.8515625" style="1" customWidth="1"/>
    <col min="14" max="14" width="23.7109375" style="1" customWidth="1"/>
    <col min="15" max="15" width="22.421875" style="1" bestFit="1" customWidth="1"/>
    <col min="16" max="16" width="22.28125" style="1" bestFit="1" customWidth="1"/>
    <col min="17" max="17" width="21.8515625" style="1" customWidth="1"/>
    <col min="18" max="18" width="20.00390625" style="1" hidden="1" customWidth="1"/>
    <col min="19" max="19" width="19.57421875" style="1" customWidth="1"/>
    <col min="20" max="16384" width="9.140625" style="1" customWidth="1"/>
  </cols>
  <sheetData>
    <row r="1" spans="1:17" ht="20.25">
      <c r="A1" s="3" t="s">
        <v>0</v>
      </c>
      <c r="B1" s="104" t="s">
        <v>14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71"/>
      <c r="Q1" s="14"/>
    </row>
    <row r="2" spans="1:17" ht="20.25">
      <c r="A2" s="3"/>
      <c r="B2" s="104" t="s">
        <v>33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71"/>
      <c r="Q2" s="14"/>
    </row>
    <row r="3" spans="1:17" ht="20.25">
      <c r="A3" s="3"/>
      <c r="B3" s="71"/>
      <c r="C3" s="71"/>
      <c r="D3" s="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14"/>
    </row>
    <row r="4" spans="1:17" ht="20.25">
      <c r="A4" s="3"/>
      <c r="B4" s="104" t="s">
        <v>366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71"/>
      <c r="Q4" s="14"/>
    </row>
    <row r="5" spans="1:17" ht="20.25">
      <c r="A5" s="3"/>
      <c r="B5" s="71"/>
      <c r="C5" s="71"/>
      <c r="D5" s="4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4"/>
    </row>
    <row r="6" spans="1:17" ht="20.25">
      <c r="A6" s="3"/>
      <c r="B6" s="71"/>
      <c r="C6" s="71"/>
      <c r="D6" s="4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4"/>
    </row>
    <row r="7" spans="1:17" ht="21" thickBot="1">
      <c r="A7" s="3"/>
      <c r="B7" s="3"/>
      <c r="C7" s="40"/>
      <c r="D7" s="17"/>
      <c r="E7" s="5"/>
      <c r="F7" s="6"/>
      <c r="G7" s="6" t="s">
        <v>0</v>
      </c>
      <c r="H7" s="3"/>
      <c r="I7" s="11"/>
      <c r="J7" s="6"/>
      <c r="K7" s="7"/>
      <c r="L7" s="7"/>
      <c r="M7" s="3"/>
      <c r="N7" s="3"/>
      <c r="O7" s="12"/>
      <c r="P7" s="8"/>
      <c r="Q7" s="15" t="s">
        <v>32</v>
      </c>
    </row>
    <row r="8" spans="1:17" ht="20.25">
      <c r="A8" s="105" t="s">
        <v>15</v>
      </c>
      <c r="B8" s="106"/>
      <c r="C8" s="109" t="s">
        <v>101</v>
      </c>
      <c r="D8" s="109"/>
      <c r="E8" s="109"/>
      <c r="F8" s="109" t="s">
        <v>16</v>
      </c>
      <c r="G8" s="109"/>
      <c r="H8" s="109"/>
      <c r="I8" s="109" t="s">
        <v>17</v>
      </c>
      <c r="J8" s="109"/>
      <c r="K8" s="109"/>
      <c r="L8" s="109" t="s">
        <v>18</v>
      </c>
      <c r="M8" s="109"/>
      <c r="N8" s="109"/>
      <c r="O8" s="109" t="s">
        <v>19</v>
      </c>
      <c r="P8" s="109"/>
      <c r="Q8" s="112"/>
    </row>
    <row r="9" spans="1:17" ht="20.25">
      <c r="A9" s="107"/>
      <c r="B9" s="108"/>
      <c r="C9" s="9" t="s">
        <v>20</v>
      </c>
      <c r="D9" s="9" t="s">
        <v>21</v>
      </c>
      <c r="E9" s="9" t="s">
        <v>22</v>
      </c>
      <c r="F9" s="9" t="s">
        <v>20</v>
      </c>
      <c r="G9" s="9" t="s">
        <v>21</v>
      </c>
      <c r="H9" s="9" t="s">
        <v>22</v>
      </c>
      <c r="I9" s="9" t="s">
        <v>20</v>
      </c>
      <c r="J9" s="9" t="s">
        <v>21</v>
      </c>
      <c r="K9" s="9" t="s">
        <v>22</v>
      </c>
      <c r="L9" s="9" t="s">
        <v>20</v>
      </c>
      <c r="M9" s="9" t="s">
        <v>21</v>
      </c>
      <c r="N9" s="9" t="s">
        <v>22</v>
      </c>
      <c r="O9" s="9" t="s">
        <v>20</v>
      </c>
      <c r="P9" s="9" t="s">
        <v>21</v>
      </c>
      <c r="Q9" s="16" t="s">
        <v>22</v>
      </c>
    </row>
    <row r="10" spans="1:17" s="2" customFormat="1" ht="20.25">
      <c r="A10" s="113" t="s">
        <v>23</v>
      </c>
      <c r="B10" s="114"/>
      <c r="C10" s="13">
        <f>C11+C15+C54</f>
        <v>31041353.699999996</v>
      </c>
      <c r="D10" s="13">
        <f aca="true" t="shared" si="0" ref="D10:Q10">D11+D15+D54</f>
        <v>36301657.199999996</v>
      </c>
      <c r="E10" s="13">
        <f t="shared" si="0"/>
        <v>5327513.109999999</v>
      </c>
      <c r="F10" s="13">
        <f t="shared" si="0"/>
        <v>6131255</v>
      </c>
      <c r="G10" s="13">
        <f t="shared" si="0"/>
        <v>6924466.000000001</v>
      </c>
      <c r="H10" s="13">
        <f t="shared" si="0"/>
        <v>3988288.0900000003</v>
      </c>
      <c r="I10" s="13">
        <f t="shared" si="0"/>
        <v>4367833.399999999</v>
      </c>
      <c r="J10" s="13">
        <f t="shared" si="0"/>
        <v>5731264.3</v>
      </c>
      <c r="K10" s="13">
        <f t="shared" si="0"/>
        <v>1339225.02</v>
      </c>
      <c r="L10" s="13">
        <f t="shared" si="0"/>
        <v>7349141.2</v>
      </c>
      <c r="M10" s="13">
        <f t="shared" si="0"/>
        <v>8420374.200000001</v>
      </c>
      <c r="N10" s="13">
        <f t="shared" si="0"/>
        <v>0</v>
      </c>
      <c r="O10" s="13">
        <f t="shared" si="0"/>
        <v>14732375.8</v>
      </c>
      <c r="P10" s="13">
        <f t="shared" si="0"/>
        <v>15225552.700000001</v>
      </c>
      <c r="Q10" s="75">
        <f t="shared" si="0"/>
        <v>0</v>
      </c>
    </row>
    <row r="11" spans="1:17" s="2" customFormat="1" ht="20.25">
      <c r="A11" s="113" t="s">
        <v>24</v>
      </c>
      <c r="B11" s="114"/>
      <c r="C11" s="18">
        <f>SUM(C12:C14)</f>
        <v>9042018</v>
      </c>
      <c r="D11" s="18">
        <f aca="true" t="shared" si="1" ref="D11:Q11">SUM(D12:D14)</f>
        <v>9042018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9042018</v>
      </c>
      <c r="P11" s="18">
        <f t="shared" si="1"/>
        <v>9042018</v>
      </c>
      <c r="Q11" s="19">
        <f t="shared" si="1"/>
        <v>0</v>
      </c>
    </row>
    <row r="12" spans="1:17" s="26" customFormat="1" ht="72.75" customHeight="1">
      <c r="A12" s="20" t="s">
        <v>25</v>
      </c>
      <c r="B12" s="21" t="s">
        <v>36</v>
      </c>
      <c r="C12" s="22">
        <f>F12+I12+L12+O12</f>
        <v>4076747.9999999995</v>
      </c>
      <c r="D12" s="22">
        <f>C12+0</f>
        <v>4076747.9999999995</v>
      </c>
      <c r="E12" s="23">
        <f>H12+K12+N12+Q12</f>
        <v>0</v>
      </c>
      <c r="F12" s="23">
        <v>0</v>
      </c>
      <c r="G12" s="23">
        <f>F12+0</f>
        <v>0</v>
      </c>
      <c r="H12" s="24"/>
      <c r="I12" s="24"/>
      <c r="J12" s="24">
        <f>I12+0</f>
        <v>0</v>
      </c>
      <c r="K12" s="24"/>
      <c r="L12" s="24">
        <v>0</v>
      </c>
      <c r="M12" s="24">
        <f>L12+0</f>
        <v>0</v>
      </c>
      <c r="N12" s="24"/>
      <c r="O12" s="23">
        <v>4076747.9999999995</v>
      </c>
      <c r="P12" s="23">
        <f>O12+0</f>
        <v>4076747.9999999995</v>
      </c>
      <c r="Q12" s="25"/>
    </row>
    <row r="13" spans="1:17" s="26" customFormat="1" ht="57.75" customHeight="1">
      <c r="A13" s="20" t="s">
        <v>26</v>
      </c>
      <c r="B13" s="21" t="s">
        <v>37</v>
      </c>
      <c r="C13" s="22">
        <f>F13+I13+L13+O13</f>
        <v>3658620</v>
      </c>
      <c r="D13" s="23">
        <f>C13+0</f>
        <v>3658620</v>
      </c>
      <c r="E13" s="23">
        <f>H13+K13+N13+Q13</f>
        <v>0</v>
      </c>
      <c r="F13" s="23">
        <v>0</v>
      </c>
      <c r="G13" s="23">
        <v>0</v>
      </c>
      <c r="H13" s="24"/>
      <c r="I13" s="24">
        <v>0</v>
      </c>
      <c r="J13" s="24">
        <f>I13+0</f>
        <v>0</v>
      </c>
      <c r="K13" s="24"/>
      <c r="L13" s="24">
        <v>0</v>
      </c>
      <c r="M13" s="24">
        <f>L13+0</f>
        <v>0</v>
      </c>
      <c r="N13" s="24"/>
      <c r="O13" s="23">
        <v>3658620</v>
      </c>
      <c r="P13" s="23">
        <f>O13+0</f>
        <v>3658620</v>
      </c>
      <c r="Q13" s="27"/>
    </row>
    <row r="14" spans="1:17" s="26" customFormat="1" ht="57.75" customHeight="1">
      <c r="A14" s="20" t="s">
        <v>1</v>
      </c>
      <c r="B14" s="21" t="s">
        <v>37</v>
      </c>
      <c r="C14" s="22">
        <f>F14+I14+L14+O14</f>
        <v>1306649.9999999998</v>
      </c>
      <c r="D14" s="23">
        <f>C14+0</f>
        <v>1306649.9999999998</v>
      </c>
      <c r="E14" s="23">
        <f>H14+K14+N14+Q14</f>
        <v>0</v>
      </c>
      <c r="F14" s="23"/>
      <c r="G14" s="23"/>
      <c r="H14" s="24"/>
      <c r="I14" s="24"/>
      <c r="J14" s="24"/>
      <c r="K14" s="24"/>
      <c r="L14" s="24"/>
      <c r="M14" s="24"/>
      <c r="N14" s="24"/>
      <c r="O14" s="23">
        <v>1306649.9999999998</v>
      </c>
      <c r="P14" s="23">
        <f>O14+0</f>
        <v>1306649.9999999998</v>
      </c>
      <c r="Q14" s="27"/>
    </row>
    <row r="15" spans="1:17" ht="39.75" customHeight="1" thickBot="1">
      <c r="A15" s="115" t="s">
        <v>27</v>
      </c>
      <c r="B15" s="116"/>
      <c r="C15" s="36">
        <f>SUM(C16:C53)</f>
        <v>21868556.499999996</v>
      </c>
      <c r="D15" s="36">
        <f>SUM(D16:D53)</f>
        <v>26656578.8</v>
      </c>
      <c r="E15" s="36">
        <f>SUM(E16:E53)</f>
        <v>5227246.329999999</v>
      </c>
      <c r="F15" s="36">
        <f>SUM(F16:F53)</f>
        <v>6024243.8</v>
      </c>
      <c r="G15" s="36">
        <f aca="true" t="shared" si="2" ref="G15:Q15">SUM(G16:G53)</f>
        <v>6655131.100000001</v>
      </c>
      <c r="H15" s="36">
        <f t="shared" si="2"/>
        <v>3942606.2900000005</v>
      </c>
      <c r="I15" s="36">
        <f t="shared" si="2"/>
        <v>4344065.399999999</v>
      </c>
      <c r="J15" s="36">
        <f>SUM(J16:J53)</f>
        <v>5518761.5</v>
      </c>
      <c r="K15" s="36">
        <f t="shared" si="2"/>
        <v>1284640.04</v>
      </c>
      <c r="L15" s="36">
        <f t="shared" si="2"/>
        <v>7349141.2</v>
      </c>
      <c r="M15" s="36">
        <f t="shared" si="2"/>
        <v>8347272.4</v>
      </c>
      <c r="N15" s="36">
        <f t="shared" si="2"/>
        <v>0</v>
      </c>
      <c r="O15" s="36">
        <f t="shared" si="2"/>
        <v>5690357.800000001</v>
      </c>
      <c r="P15" s="36">
        <f t="shared" si="2"/>
        <v>6135413.800000001</v>
      </c>
      <c r="Q15" s="37">
        <f t="shared" si="2"/>
        <v>0</v>
      </c>
    </row>
    <row r="16" spans="1:17" ht="55.5" customHeight="1">
      <c r="A16" s="76" t="s">
        <v>25</v>
      </c>
      <c r="B16" s="77" t="s">
        <v>31</v>
      </c>
      <c r="C16" s="78">
        <f aca="true" t="shared" si="3" ref="C16:E43">F16+I16+L16+O16</f>
        <v>114466.7</v>
      </c>
      <c r="D16" s="78">
        <f t="shared" si="3"/>
        <v>114466.7</v>
      </c>
      <c r="E16" s="78">
        <f t="shared" si="3"/>
        <v>62769.38</v>
      </c>
      <c r="F16" s="79">
        <v>28616.7</v>
      </c>
      <c r="G16" s="80">
        <f>F16+0</f>
        <v>28616.7</v>
      </c>
      <c r="H16" s="78">
        <v>31688.12</v>
      </c>
      <c r="I16" s="79">
        <f>57233.4-28616.7</f>
        <v>28616.7</v>
      </c>
      <c r="J16" s="80">
        <f>I16+0</f>
        <v>28616.7</v>
      </c>
      <c r="K16" s="78">
        <v>31081.26</v>
      </c>
      <c r="L16" s="79">
        <f>85850.1-57233.4</f>
        <v>28616.700000000004</v>
      </c>
      <c r="M16" s="80">
        <f>L16+0</f>
        <v>28616.700000000004</v>
      </c>
      <c r="N16" s="80">
        <v>0</v>
      </c>
      <c r="O16" s="79">
        <f>114466.7-85850.1</f>
        <v>28616.59999999999</v>
      </c>
      <c r="P16" s="80">
        <f>O16+0</f>
        <v>28616.59999999999</v>
      </c>
      <c r="Q16" s="81"/>
    </row>
    <row r="17" spans="1:17" ht="60.75">
      <c r="A17" s="35" t="s">
        <v>26</v>
      </c>
      <c r="B17" s="21" t="s">
        <v>34</v>
      </c>
      <c r="C17" s="28">
        <f t="shared" si="3"/>
        <v>99683</v>
      </c>
      <c r="D17" s="28">
        <f t="shared" si="3"/>
        <v>99683</v>
      </c>
      <c r="E17" s="28">
        <f t="shared" si="3"/>
        <v>0</v>
      </c>
      <c r="F17" s="29">
        <v>24920.7</v>
      </c>
      <c r="G17" s="30">
        <f aca="true" t="shared" si="4" ref="G17:G47">F17+0</f>
        <v>24920.7</v>
      </c>
      <c r="H17" s="28">
        <v>0</v>
      </c>
      <c r="I17" s="29">
        <f>49841.4-F17</f>
        <v>24920.7</v>
      </c>
      <c r="J17" s="30">
        <f aca="true" t="shared" si="5" ref="J17:J47">I17+0</f>
        <v>24920.7</v>
      </c>
      <c r="K17" s="28">
        <v>0</v>
      </c>
      <c r="L17" s="29">
        <f>74762.1-49841.4</f>
        <v>24920.700000000004</v>
      </c>
      <c r="M17" s="30">
        <f aca="true" t="shared" si="6" ref="M17:M47">L17+0</f>
        <v>24920.700000000004</v>
      </c>
      <c r="N17" s="30"/>
      <c r="O17" s="29">
        <f>99683-74762.1</f>
        <v>24920.899999999994</v>
      </c>
      <c r="P17" s="30">
        <f aca="true" t="shared" si="7" ref="P17:P26">O17+0</f>
        <v>24920.899999999994</v>
      </c>
      <c r="Q17" s="31"/>
    </row>
    <row r="18" spans="1:18" ht="48.75" customHeight="1">
      <c r="A18" s="35" t="s">
        <v>1</v>
      </c>
      <c r="B18" s="32" t="s">
        <v>86</v>
      </c>
      <c r="C18" s="28">
        <f aca="true" t="shared" si="8" ref="C18:E19">F18+I18+L18+O18</f>
        <v>0</v>
      </c>
      <c r="D18" s="28">
        <f t="shared" si="8"/>
        <v>89400</v>
      </c>
      <c r="E18" s="28">
        <f t="shared" si="8"/>
        <v>55767.94</v>
      </c>
      <c r="F18" s="29"/>
      <c r="G18" s="30">
        <v>22350</v>
      </c>
      <c r="H18" s="30">
        <v>33688.32</v>
      </c>
      <c r="I18" s="29"/>
      <c r="J18" s="30">
        <f>44700-22350</f>
        <v>22350</v>
      </c>
      <c r="K18" s="28">
        <v>22079.62</v>
      </c>
      <c r="L18" s="29"/>
      <c r="M18" s="30">
        <f>67050-44700</f>
        <v>22350</v>
      </c>
      <c r="N18" s="30"/>
      <c r="O18" s="29"/>
      <c r="P18" s="30">
        <f>89400-67050</f>
        <v>22350</v>
      </c>
      <c r="Q18" s="31"/>
      <c r="R18" s="33"/>
    </row>
    <row r="19" spans="1:18" ht="43.5" customHeight="1">
      <c r="A19" s="35" t="s">
        <v>28</v>
      </c>
      <c r="B19" s="32" t="s">
        <v>97</v>
      </c>
      <c r="C19" s="28">
        <f t="shared" si="8"/>
        <v>0</v>
      </c>
      <c r="D19" s="28">
        <f t="shared" si="8"/>
        <v>249592.3</v>
      </c>
      <c r="E19" s="28">
        <f t="shared" si="8"/>
        <v>203523.56</v>
      </c>
      <c r="F19" s="29"/>
      <c r="G19" s="30">
        <v>215642.3</v>
      </c>
      <c r="H19" s="30">
        <v>90522.96</v>
      </c>
      <c r="I19" s="29"/>
      <c r="J19" s="30">
        <f>249592.3-215642.3</f>
        <v>33950</v>
      </c>
      <c r="K19" s="28">
        <v>113000.6</v>
      </c>
      <c r="L19" s="29"/>
      <c r="M19" s="30">
        <v>0</v>
      </c>
      <c r="N19" s="30"/>
      <c r="O19" s="29"/>
      <c r="P19" s="30">
        <v>0</v>
      </c>
      <c r="Q19" s="31"/>
      <c r="R19" s="33"/>
    </row>
    <row r="20" spans="1:17" ht="51" customHeight="1">
      <c r="A20" s="35" t="s">
        <v>2</v>
      </c>
      <c r="B20" s="32" t="s">
        <v>35</v>
      </c>
      <c r="C20" s="28">
        <f t="shared" si="3"/>
        <v>47536</v>
      </c>
      <c r="D20" s="28">
        <f t="shared" si="3"/>
        <v>47536</v>
      </c>
      <c r="E20" s="28">
        <f t="shared" si="3"/>
        <v>23162.5</v>
      </c>
      <c r="F20" s="29">
        <v>23768</v>
      </c>
      <c r="G20" s="30">
        <f t="shared" si="4"/>
        <v>23768</v>
      </c>
      <c r="H20" s="28">
        <v>23162.5</v>
      </c>
      <c r="I20" s="29">
        <f>47536-23768</f>
        <v>23768</v>
      </c>
      <c r="J20" s="30">
        <f t="shared" si="5"/>
        <v>23768</v>
      </c>
      <c r="K20" s="28">
        <v>0</v>
      </c>
      <c r="L20" s="29">
        <f>47536-47536</f>
        <v>0</v>
      </c>
      <c r="M20" s="30">
        <f t="shared" si="6"/>
        <v>0</v>
      </c>
      <c r="N20" s="30"/>
      <c r="O20" s="29">
        <f>0</f>
        <v>0</v>
      </c>
      <c r="P20" s="30">
        <f t="shared" si="7"/>
        <v>0</v>
      </c>
      <c r="Q20" s="31"/>
    </row>
    <row r="21" spans="1:17" ht="57.75" customHeight="1">
      <c r="A21" s="35" t="s">
        <v>3</v>
      </c>
      <c r="B21" s="32" t="s">
        <v>102</v>
      </c>
      <c r="C21" s="28">
        <f t="shared" si="3"/>
        <v>751068.8</v>
      </c>
      <c r="D21" s="28">
        <f t="shared" si="3"/>
        <v>751068.8</v>
      </c>
      <c r="E21" s="28">
        <f t="shared" si="3"/>
        <v>455256.4</v>
      </c>
      <c r="F21" s="29">
        <v>187767.2</v>
      </c>
      <c r="G21" s="30">
        <f t="shared" si="4"/>
        <v>187767.2</v>
      </c>
      <c r="H21" s="28">
        <v>86028</v>
      </c>
      <c r="I21" s="29">
        <f>375534.4-187767.2</f>
        <v>187767.2</v>
      </c>
      <c r="J21" s="30">
        <f t="shared" si="5"/>
        <v>187767.2</v>
      </c>
      <c r="K21" s="28">
        <v>369228.4</v>
      </c>
      <c r="L21" s="29">
        <f>751068.8-375534.4</f>
        <v>375534.4</v>
      </c>
      <c r="M21" s="30">
        <f t="shared" si="6"/>
        <v>375534.4</v>
      </c>
      <c r="N21" s="30"/>
      <c r="O21" s="29">
        <f>751068.8-751068.8</f>
        <v>0</v>
      </c>
      <c r="P21" s="30">
        <f t="shared" si="7"/>
        <v>0</v>
      </c>
      <c r="Q21" s="31"/>
    </row>
    <row r="22" spans="1:17" ht="54.75" customHeight="1">
      <c r="A22" s="35" t="s">
        <v>4</v>
      </c>
      <c r="B22" s="21" t="s">
        <v>38</v>
      </c>
      <c r="C22" s="28">
        <f t="shared" si="3"/>
        <v>237680</v>
      </c>
      <c r="D22" s="28">
        <f t="shared" si="3"/>
        <v>237680</v>
      </c>
      <c r="E22" s="28">
        <f t="shared" si="3"/>
        <v>0</v>
      </c>
      <c r="F22" s="29">
        <v>59420</v>
      </c>
      <c r="G22" s="30">
        <f t="shared" si="4"/>
        <v>59420</v>
      </c>
      <c r="H22" s="28">
        <v>0</v>
      </c>
      <c r="I22" s="29">
        <f>118840-F22</f>
        <v>59420</v>
      </c>
      <c r="J22" s="30">
        <f t="shared" si="5"/>
        <v>59420</v>
      </c>
      <c r="K22" s="28">
        <v>0</v>
      </c>
      <c r="L22" s="29">
        <f>178260-118840</f>
        <v>59420</v>
      </c>
      <c r="M22" s="30">
        <f t="shared" si="6"/>
        <v>59420</v>
      </c>
      <c r="N22" s="30"/>
      <c r="O22" s="29">
        <f>237680-178260</f>
        <v>59420</v>
      </c>
      <c r="P22" s="30">
        <f t="shared" si="7"/>
        <v>59420</v>
      </c>
      <c r="Q22" s="31"/>
    </row>
    <row r="23" spans="1:17" ht="57.75" customHeight="1">
      <c r="A23" s="35" t="s">
        <v>5</v>
      </c>
      <c r="B23" s="21" t="s">
        <v>39</v>
      </c>
      <c r="C23" s="28">
        <f t="shared" si="3"/>
        <v>47536</v>
      </c>
      <c r="D23" s="28">
        <f t="shared" si="3"/>
        <v>47536</v>
      </c>
      <c r="E23" s="28">
        <f t="shared" si="3"/>
        <v>0</v>
      </c>
      <c r="F23" s="29">
        <v>11884</v>
      </c>
      <c r="G23" s="30">
        <f t="shared" si="4"/>
        <v>11884</v>
      </c>
      <c r="H23" s="28">
        <v>0</v>
      </c>
      <c r="I23" s="29">
        <f>23768-F23</f>
        <v>11884</v>
      </c>
      <c r="J23" s="30">
        <f t="shared" si="5"/>
        <v>11884</v>
      </c>
      <c r="K23" s="28">
        <v>0</v>
      </c>
      <c r="L23" s="29">
        <f>35652-F23-I23</f>
        <v>11884</v>
      </c>
      <c r="M23" s="30">
        <f t="shared" si="6"/>
        <v>11884</v>
      </c>
      <c r="N23" s="30"/>
      <c r="O23" s="29">
        <f>47536-F23-I23-L23</f>
        <v>11884</v>
      </c>
      <c r="P23" s="30">
        <f t="shared" si="7"/>
        <v>11884</v>
      </c>
      <c r="Q23" s="31"/>
    </row>
    <row r="24" spans="1:17" ht="40.5">
      <c r="A24" s="35" t="s">
        <v>6</v>
      </c>
      <c r="B24" s="21" t="s">
        <v>40</v>
      </c>
      <c r="C24" s="28">
        <f t="shared" si="3"/>
        <v>1564409.8</v>
      </c>
      <c r="D24" s="28">
        <f t="shared" si="3"/>
        <v>1564409.8</v>
      </c>
      <c r="E24" s="28">
        <f t="shared" si="3"/>
        <v>761504.35</v>
      </c>
      <c r="F24" s="29">
        <v>748692</v>
      </c>
      <c r="G24" s="30">
        <f t="shared" si="4"/>
        <v>748692</v>
      </c>
      <c r="H24" s="28">
        <v>761504.35</v>
      </c>
      <c r="I24" s="29">
        <f>1041513.7-F24</f>
        <v>292821.69999999995</v>
      </c>
      <c r="J24" s="30">
        <f t="shared" si="5"/>
        <v>292821.69999999995</v>
      </c>
      <c r="K24" s="28">
        <v>0</v>
      </c>
      <c r="L24" s="29">
        <f>1162730.5-I24-F24</f>
        <v>121216.80000000005</v>
      </c>
      <c r="M24" s="30">
        <f t="shared" si="6"/>
        <v>121216.80000000005</v>
      </c>
      <c r="N24" s="30"/>
      <c r="O24" s="29">
        <f>1564409.8-L24-I24-F24</f>
        <v>401679.30000000005</v>
      </c>
      <c r="P24" s="30">
        <f t="shared" si="7"/>
        <v>401679.30000000005</v>
      </c>
      <c r="Q24" s="31"/>
    </row>
    <row r="25" spans="1:17" ht="54" customHeight="1">
      <c r="A25" s="82" t="s">
        <v>7</v>
      </c>
      <c r="B25" s="21" t="s">
        <v>41</v>
      </c>
      <c r="C25" s="28">
        <f t="shared" si="3"/>
        <v>1976737</v>
      </c>
      <c r="D25" s="28">
        <f t="shared" si="3"/>
        <v>1976737</v>
      </c>
      <c r="E25" s="28">
        <f t="shared" si="3"/>
        <v>204719.3</v>
      </c>
      <c r="F25" s="29">
        <v>494184.2</v>
      </c>
      <c r="G25" s="30">
        <f t="shared" si="4"/>
        <v>494184.2</v>
      </c>
      <c r="H25" s="28">
        <v>204719.3</v>
      </c>
      <c r="I25" s="29">
        <f>988368.4-F25</f>
        <v>494184.2</v>
      </c>
      <c r="J25" s="30">
        <f t="shared" si="5"/>
        <v>494184.2</v>
      </c>
      <c r="K25" s="28">
        <v>0</v>
      </c>
      <c r="L25" s="29">
        <f>1482552.6-I25-F25</f>
        <v>494184.2000000001</v>
      </c>
      <c r="M25" s="30">
        <f t="shared" si="6"/>
        <v>494184.2000000001</v>
      </c>
      <c r="N25" s="30"/>
      <c r="O25" s="29">
        <f>1976737-L25-I25-F25</f>
        <v>494184.39999999985</v>
      </c>
      <c r="P25" s="30">
        <f t="shared" si="7"/>
        <v>494184.39999999985</v>
      </c>
      <c r="Q25" s="31"/>
    </row>
    <row r="26" spans="1:17" ht="40.5">
      <c r="A26" s="82" t="s">
        <v>8</v>
      </c>
      <c r="B26" s="21" t="s">
        <v>42</v>
      </c>
      <c r="C26" s="28">
        <f t="shared" si="3"/>
        <v>393883.3</v>
      </c>
      <c r="D26" s="28">
        <f t="shared" si="3"/>
        <v>393883.3</v>
      </c>
      <c r="E26" s="28">
        <f t="shared" si="3"/>
        <v>240830.78</v>
      </c>
      <c r="F26" s="29">
        <v>98470.8</v>
      </c>
      <c r="G26" s="30">
        <f t="shared" si="4"/>
        <v>98470.8</v>
      </c>
      <c r="H26" s="28">
        <v>104811.4</v>
      </c>
      <c r="I26" s="29">
        <f>196941.6-F26</f>
        <v>98470.8</v>
      </c>
      <c r="J26" s="30">
        <f t="shared" si="5"/>
        <v>98470.8</v>
      </c>
      <c r="K26" s="28">
        <v>136019.38</v>
      </c>
      <c r="L26" s="29">
        <f>295412.4-I26-F26</f>
        <v>98470.80000000003</v>
      </c>
      <c r="M26" s="30">
        <f t="shared" si="6"/>
        <v>98470.80000000003</v>
      </c>
      <c r="N26" s="30"/>
      <c r="O26" s="29">
        <f>393883.3-L26-I26-F26</f>
        <v>98470.89999999995</v>
      </c>
      <c r="P26" s="30">
        <f t="shared" si="7"/>
        <v>98470.89999999995</v>
      </c>
      <c r="Q26" s="31"/>
    </row>
    <row r="27" spans="1:17" ht="60.75">
      <c r="A27" s="35" t="s">
        <v>9</v>
      </c>
      <c r="B27" s="21" t="s">
        <v>43</v>
      </c>
      <c r="C27" s="28">
        <f t="shared" si="3"/>
        <v>921057.5</v>
      </c>
      <c r="D27" s="28">
        <f t="shared" si="3"/>
        <v>921057.5</v>
      </c>
      <c r="E27" s="28">
        <f t="shared" si="3"/>
        <v>0</v>
      </c>
      <c r="F27" s="29">
        <v>0</v>
      </c>
      <c r="G27" s="30">
        <f t="shared" si="4"/>
        <v>0</v>
      </c>
      <c r="H27" s="28">
        <v>0</v>
      </c>
      <c r="I27" s="29">
        <v>0</v>
      </c>
      <c r="J27" s="30">
        <f t="shared" si="5"/>
        <v>0</v>
      </c>
      <c r="K27" s="28">
        <v>0</v>
      </c>
      <c r="L27" s="29">
        <v>845570.3999999999</v>
      </c>
      <c r="M27" s="30">
        <f t="shared" si="6"/>
        <v>845570.3999999999</v>
      </c>
      <c r="N27" s="30"/>
      <c r="O27" s="29">
        <f>921057.5-L27</f>
        <v>75487.1000000001</v>
      </c>
      <c r="P27" s="30">
        <f>O27+0</f>
        <v>75487.1000000001</v>
      </c>
      <c r="Q27" s="31"/>
    </row>
    <row r="28" spans="1:17" ht="53.25" customHeight="1">
      <c r="A28" s="35" t="s">
        <v>10</v>
      </c>
      <c r="B28" s="21" t="s">
        <v>378</v>
      </c>
      <c r="C28" s="28">
        <f t="shared" si="3"/>
        <v>950720</v>
      </c>
      <c r="D28" s="28">
        <f t="shared" si="3"/>
        <v>931433</v>
      </c>
      <c r="E28" s="28">
        <f t="shared" si="3"/>
        <v>234903.4</v>
      </c>
      <c r="F28" s="29">
        <v>235197</v>
      </c>
      <c r="G28" s="30">
        <f t="shared" si="4"/>
        <v>235197</v>
      </c>
      <c r="H28" s="28">
        <v>0</v>
      </c>
      <c r="I28" s="29">
        <f>444261-F28</f>
        <v>209064</v>
      </c>
      <c r="J28" s="30">
        <f>I28-19287</f>
        <v>189777</v>
      </c>
      <c r="K28" s="28">
        <v>234903.4</v>
      </c>
      <c r="L28" s="29">
        <f>950720-I28-F28</f>
        <v>506459</v>
      </c>
      <c r="M28" s="30">
        <f t="shared" si="6"/>
        <v>506459</v>
      </c>
      <c r="N28" s="30"/>
      <c r="O28" s="29">
        <f>950720-L28-I28-F28</f>
        <v>0</v>
      </c>
      <c r="P28" s="30">
        <f aca="true" t="shared" si="9" ref="P28:P47">O28+0</f>
        <v>0</v>
      </c>
      <c r="Q28" s="31"/>
    </row>
    <row r="29" spans="1:17" ht="60.75">
      <c r="A29" s="35" t="s">
        <v>11</v>
      </c>
      <c r="B29" s="32" t="s">
        <v>44</v>
      </c>
      <c r="C29" s="28">
        <f t="shared" si="3"/>
        <v>8413.9</v>
      </c>
      <c r="D29" s="28">
        <f t="shared" si="3"/>
        <v>27700.9</v>
      </c>
      <c r="E29" s="28">
        <f t="shared" si="3"/>
        <v>0</v>
      </c>
      <c r="F29" s="29">
        <v>8413.9</v>
      </c>
      <c r="G29" s="30">
        <f t="shared" si="4"/>
        <v>8413.9</v>
      </c>
      <c r="H29" s="28">
        <v>0</v>
      </c>
      <c r="I29" s="29">
        <v>0</v>
      </c>
      <c r="J29" s="30">
        <v>19287</v>
      </c>
      <c r="K29" s="30">
        <v>0</v>
      </c>
      <c r="L29" s="29">
        <v>0</v>
      </c>
      <c r="M29" s="30">
        <f t="shared" si="6"/>
        <v>0</v>
      </c>
      <c r="N29" s="30"/>
      <c r="O29" s="29">
        <v>0</v>
      </c>
      <c r="P29" s="30">
        <f t="shared" si="9"/>
        <v>0</v>
      </c>
      <c r="Q29" s="31"/>
    </row>
    <row r="30" spans="1:17" ht="63.75" customHeight="1">
      <c r="A30" s="82" t="s">
        <v>12</v>
      </c>
      <c r="B30" s="32" t="s">
        <v>45</v>
      </c>
      <c r="C30" s="28">
        <f t="shared" si="3"/>
        <v>1250482</v>
      </c>
      <c r="D30" s="28">
        <f t="shared" si="3"/>
        <v>1250482</v>
      </c>
      <c r="E30" s="28">
        <f t="shared" si="3"/>
        <v>0</v>
      </c>
      <c r="F30" s="29">
        <v>155553</v>
      </c>
      <c r="G30" s="30">
        <f t="shared" si="4"/>
        <v>155553</v>
      </c>
      <c r="H30" s="28">
        <v>0</v>
      </c>
      <c r="I30" s="29">
        <f>520529.3-F30</f>
        <v>364976.3</v>
      </c>
      <c r="J30" s="30">
        <f t="shared" si="5"/>
        <v>364976.3</v>
      </c>
      <c r="K30" s="28">
        <v>0</v>
      </c>
      <c r="L30" s="29">
        <f>885505.6-364976.3-F30</f>
        <v>364976.3</v>
      </c>
      <c r="M30" s="30">
        <f t="shared" si="6"/>
        <v>364976.3</v>
      </c>
      <c r="N30" s="30"/>
      <c r="O30" s="29">
        <f>1250482-L30-I30-F30</f>
        <v>364976.39999999997</v>
      </c>
      <c r="P30" s="30">
        <f t="shared" si="9"/>
        <v>364976.39999999997</v>
      </c>
      <c r="Q30" s="31"/>
    </row>
    <row r="31" spans="1:17" ht="74.25" customHeight="1">
      <c r="A31" s="82" t="s">
        <v>13</v>
      </c>
      <c r="B31" s="32" t="s">
        <v>46</v>
      </c>
      <c r="C31" s="28">
        <f t="shared" si="3"/>
        <v>253129.3</v>
      </c>
      <c r="D31" s="28">
        <f t="shared" si="3"/>
        <v>253129.3</v>
      </c>
      <c r="E31" s="28">
        <f t="shared" si="3"/>
        <v>0</v>
      </c>
      <c r="F31" s="29"/>
      <c r="G31" s="30">
        <f t="shared" si="4"/>
        <v>0</v>
      </c>
      <c r="H31" s="28">
        <v>0</v>
      </c>
      <c r="I31" s="29"/>
      <c r="J31" s="30">
        <f t="shared" si="5"/>
        <v>0</v>
      </c>
      <c r="K31" s="28">
        <v>0</v>
      </c>
      <c r="L31" s="29"/>
      <c r="M31" s="30">
        <f t="shared" si="6"/>
        <v>0</v>
      </c>
      <c r="N31" s="30"/>
      <c r="O31" s="29">
        <v>253129.3</v>
      </c>
      <c r="P31" s="30">
        <f t="shared" si="9"/>
        <v>253129.3</v>
      </c>
      <c r="Q31" s="31"/>
    </row>
    <row r="32" spans="1:17" ht="57.75" customHeight="1">
      <c r="A32" s="35" t="s">
        <v>29</v>
      </c>
      <c r="B32" s="32" t="s">
        <v>47</v>
      </c>
      <c r="C32" s="28">
        <f t="shared" si="3"/>
        <v>2581775.2</v>
      </c>
      <c r="D32" s="28">
        <f t="shared" si="3"/>
        <v>2581775.2</v>
      </c>
      <c r="E32" s="28">
        <f t="shared" si="3"/>
        <v>0</v>
      </c>
      <c r="F32" s="29">
        <v>645443.8</v>
      </c>
      <c r="G32" s="30">
        <f t="shared" si="4"/>
        <v>645443.8</v>
      </c>
      <c r="H32" s="28">
        <v>0</v>
      </c>
      <c r="I32" s="29">
        <f>1290887.6-F32</f>
        <v>645443.8</v>
      </c>
      <c r="J32" s="30">
        <f t="shared" si="5"/>
        <v>645443.8</v>
      </c>
      <c r="K32" s="28"/>
      <c r="L32" s="29">
        <f>1936331.4-I32-F32</f>
        <v>645443.7999999998</v>
      </c>
      <c r="M32" s="30">
        <f t="shared" si="6"/>
        <v>645443.7999999998</v>
      </c>
      <c r="N32" s="30"/>
      <c r="O32" s="29">
        <f>2581775.2-L32-I32-F32</f>
        <v>645443.8000000003</v>
      </c>
      <c r="P32" s="30">
        <f t="shared" si="9"/>
        <v>645443.8000000003</v>
      </c>
      <c r="Q32" s="31"/>
    </row>
    <row r="33" spans="1:17" ht="40.5">
      <c r="A33" s="35" t="s">
        <v>30</v>
      </c>
      <c r="B33" s="32" t="s">
        <v>48</v>
      </c>
      <c r="C33" s="28">
        <f t="shared" si="3"/>
        <v>383615.6</v>
      </c>
      <c r="D33" s="28">
        <f t="shared" si="3"/>
        <v>383615.6</v>
      </c>
      <c r="E33" s="28">
        <f t="shared" si="3"/>
        <v>145248</v>
      </c>
      <c r="F33" s="29">
        <v>259546.59999999998</v>
      </c>
      <c r="G33" s="30">
        <f t="shared" si="4"/>
        <v>259546.59999999998</v>
      </c>
      <c r="H33" s="28">
        <v>145248</v>
      </c>
      <c r="I33" s="29">
        <f>300903-F33</f>
        <v>41356.40000000002</v>
      </c>
      <c r="J33" s="30">
        <f t="shared" si="5"/>
        <v>41356.40000000002</v>
      </c>
      <c r="K33" s="28">
        <v>0</v>
      </c>
      <c r="L33" s="29">
        <f>342259.4-I33-F33</f>
        <v>41356.40000000002</v>
      </c>
      <c r="M33" s="30">
        <f t="shared" si="6"/>
        <v>41356.40000000002</v>
      </c>
      <c r="N33" s="30"/>
      <c r="O33" s="29">
        <f>383615.6-L33-I33-F33</f>
        <v>41356.19999999995</v>
      </c>
      <c r="P33" s="30">
        <f t="shared" si="9"/>
        <v>41356.19999999995</v>
      </c>
      <c r="Q33" s="31"/>
    </row>
    <row r="34" spans="1:17" ht="52.5" customHeight="1">
      <c r="A34" s="35" t="s">
        <v>52</v>
      </c>
      <c r="B34" s="32" t="s">
        <v>49</v>
      </c>
      <c r="C34" s="28">
        <f t="shared" si="3"/>
        <v>254555.3</v>
      </c>
      <c r="D34" s="28">
        <f>G34+J34+M34+O34</f>
        <v>254555.3</v>
      </c>
      <c r="E34" s="28">
        <f t="shared" si="3"/>
        <v>0</v>
      </c>
      <c r="F34" s="29">
        <v>25455.5</v>
      </c>
      <c r="G34" s="30">
        <f t="shared" si="4"/>
        <v>25455.5</v>
      </c>
      <c r="H34" s="28">
        <v>0</v>
      </c>
      <c r="I34" s="29">
        <f>76366.6-F34</f>
        <v>50911.100000000006</v>
      </c>
      <c r="J34" s="30">
        <f t="shared" si="5"/>
        <v>50911.100000000006</v>
      </c>
      <c r="K34" s="28"/>
      <c r="L34" s="29">
        <f>152733.2-I34-F34</f>
        <v>76366.6</v>
      </c>
      <c r="M34" s="30">
        <f t="shared" si="6"/>
        <v>76366.6</v>
      </c>
      <c r="N34" s="30"/>
      <c r="O34" s="30">
        <f>254555.3-L34-I34-F34</f>
        <v>101822.09999999998</v>
      </c>
      <c r="P34" s="30">
        <f t="shared" si="9"/>
        <v>101822.09999999998</v>
      </c>
      <c r="Q34" s="31"/>
    </row>
    <row r="35" spans="1:18" ht="60.75">
      <c r="A35" s="82" t="s">
        <v>53</v>
      </c>
      <c r="B35" s="32" t="s">
        <v>96</v>
      </c>
      <c r="C35" s="28">
        <f>F35+I35+L35+O35</f>
        <v>0</v>
      </c>
      <c r="D35" s="28">
        <f>G35+J35+M35+P35</f>
        <v>320160</v>
      </c>
      <c r="E35" s="28">
        <f>H35+K35+N35+Q35</f>
        <v>0</v>
      </c>
      <c r="F35" s="29"/>
      <c r="G35" s="30">
        <v>154858.5</v>
      </c>
      <c r="H35" s="30">
        <v>0</v>
      </c>
      <c r="I35" s="29"/>
      <c r="J35" s="30">
        <f>209959-154858.5</f>
        <v>55100.5</v>
      </c>
      <c r="K35" s="28"/>
      <c r="L35" s="29"/>
      <c r="M35" s="30">
        <f>265059.5-209959</f>
        <v>55100.5</v>
      </c>
      <c r="N35" s="30"/>
      <c r="O35" s="29"/>
      <c r="P35" s="30">
        <f>320160-265059.5</f>
        <v>55100.5</v>
      </c>
      <c r="Q35" s="31"/>
      <c r="R35" s="33"/>
    </row>
    <row r="36" spans="1:17" ht="60.75">
      <c r="A36" s="82" t="s">
        <v>54</v>
      </c>
      <c r="B36" s="32" t="s">
        <v>50</v>
      </c>
      <c r="C36" s="28">
        <f t="shared" si="3"/>
        <v>321628.6</v>
      </c>
      <c r="D36" s="28">
        <f>G36+J36+M36+O36</f>
        <v>321628.6</v>
      </c>
      <c r="E36" s="28">
        <f t="shared" si="3"/>
        <v>0</v>
      </c>
      <c r="F36" s="30">
        <v>64325.7</v>
      </c>
      <c r="G36" s="30">
        <f t="shared" si="4"/>
        <v>64325.7</v>
      </c>
      <c r="H36" s="28">
        <v>0</v>
      </c>
      <c r="I36" s="29">
        <f>95488.5-F36</f>
        <v>31162.800000000003</v>
      </c>
      <c r="J36" s="30">
        <f t="shared" si="5"/>
        <v>31162.800000000003</v>
      </c>
      <c r="K36" s="28">
        <v>0</v>
      </c>
      <c r="L36" s="29">
        <f>224139.9-I36-F36</f>
        <v>128651.39999999998</v>
      </c>
      <c r="M36" s="30">
        <f t="shared" si="6"/>
        <v>128651.39999999998</v>
      </c>
      <c r="N36" s="30"/>
      <c r="O36" s="30">
        <f>321628.6-L36-I36-F36</f>
        <v>97488.70000000003</v>
      </c>
      <c r="P36" s="30">
        <f t="shared" si="9"/>
        <v>97488.70000000003</v>
      </c>
      <c r="Q36" s="31"/>
    </row>
    <row r="37" spans="1:17" ht="60.75">
      <c r="A37" s="35" t="s">
        <v>55</v>
      </c>
      <c r="B37" s="32" t="s">
        <v>51</v>
      </c>
      <c r="C37" s="28">
        <f t="shared" si="3"/>
        <v>2603071.3</v>
      </c>
      <c r="D37" s="28">
        <f t="shared" si="3"/>
        <v>2603071.3</v>
      </c>
      <c r="E37" s="28">
        <f t="shared" si="3"/>
        <v>0</v>
      </c>
      <c r="F37" s="29">
        <v>0</v>
      </c>
      <c r="G37" s="30">
        <f t="shared" si="4"/>
        <v>0</v>
      </c>
      <c r="H37" s="28">
        <v>0</v>
      </c>
      <c r="I37" s="29"/>
      <c r="J37" s="30">
        <f t="shared" si="5"/>
        <v>0</v>
      </c>
      <c r="K37" s="28">
        <v>0</v>
      </c>
      <c r="L37" s="29">
        <v>1041228.5</v>
      </c>
      <c r="M37" s="30">
        <f t="shared" si="6"/>
        <v>1041228.5</v>
      </c>
      <c r="N37" s="30"/>
      <c r="O37" s="29">
        <f>2603071.3-L37</f>
        <v>1561842.7999999998</v>
      </c>
      <c r="P37" s="30">
        <f t="shared" si="9"/>
        <v>1561842.7999999998</v>
      </c>
      <c r="Q37" s="31"/>
    </row>
    <row r="38" spans="1:17" ht="60.75">
      <c r="A38" s="35" t="s">
        <v>56</v>
      </c>
      <c r="B38" s="32" t="s">
        <v>63</v>
      </c>
      <c r="C38" s="28">
        <f t="shared" si="3"/>
        <v>650767.7</v>
      </c>
      <c r="D38" s="28">
        <f t="shared" si="3"/>
        <v>650767.7</v>
      </c>
      <c r="E38" s="28">
        <f t="shared" si="3"/>
        <v>0</v>
      </c>
      <c r="F38" s="29">
        <v>0</v>
      </c>
      <c r="G38" s="30">
        <f t="shared" si="4"/>
        <v>0</v>
      </c>
      <c r="H38" s="28">
        <v>0</v>
      </c>
      <c r="I38" s="29"/>
      <c r="J38" s="30">
        <f t="shared" si="5"/>
        <v>0</v>
      </c>
      <c r="K38" s="28">
        <v>0</v>
      </c>
      <c r="L38" s="29">
        <v>260307.1</v>
      </c>
      <c r="M38" s="30">
        <f t="shared" si="6"/>
        <v>260307.1</v>
      </c>
      <c r="N38" s="30"/>
      <c r="O38" s="29">
        <f>650767.7-L38</f>
        <v>390460.6</v>
      </c>
      <c r="P38" s="30">
        <f t="shared" si="9"/>
        <v>390460.6</v>
      </c>
      <c r="Q38" s="31"/>
    </row>
    <row r="39" spans="1:17" ht="60.75">
      <c r="A39" s="82" t="s">
        <v>57</v>
      </c>
      <c r="B39" s="32" t="s">
        <v>64</v>
      </c>
      <c r="C39" s="28">
        <f t="shared" si="3"/>
        <v>1150846.6</v>
      </c>
      <c r="D39" s="28">
        <f t="shared" si="3"/>
        <v>1150846.6</v>
      </c>
      <c r="E39" s="28">
        <f t="shared" si="3"/>
        <v>0</v>
      </c>
      <c r="F39" s="29">
        <v>212353.4</v>
      </c>
      <c r="G39" s="30">
        <f t="shared" si="4"/>
        <v>212353.4</v>
      </c>
      <c r="H39" s="28">
        <v>0</v>
      </c>
      <c r="I39" s="29">
        <f>598791.8-F39</f>
        <v>386438.4</v>
      </c>
      <c r="J39" s="30">
        <f>I39+0</f>
        <v>386438.4</v>
      </c>
      <c r="K39" s="28"/>
      <c r="L39" s="29">
        <f>985230.1-I39-F39</f>
        <v>386438.29999999993</v>
      </c>
      <c r="M39" s="30">
        <f t="shared" si="6"/>
        <v>386438.29999999993</v>
      </c>
      <c r="N39" s="30"/>
      <c r="O39" s="29">
        <f>1150846.6-L39-I39-F39</f>
        <v>165616.50000000015</v>
      </c>
      <c r="P39" s="30">
        <f t="shared" si="9"/>
        <v>165616.50000000015</v>
      </c>
      <c r="Q39" s="83"/>
    </row>
    <row r="40" spans="1:17" ht="60.75">
      <c r="A40" s="82" t="s">
        <v>58</v>
      </c>
      <c r="B40" s="32" t="s">
        <v>65</v>
      </c>
      <c r="C40" s="28">
        <f t="shared" si="3"/>
        <v>120456.2</v>
      </c>
      <c r="D40" s="28">
        <f t="shared" si="3"/>
        <v>120456.2</v>
      </c>
      <c r="E40" s="28">
        <f t="shared" si="3"/>
        <v>0</v>
      </c>
      <c r="F40" s="29">
        <v>48182.5</v>
      </c>
      <c r="G40" s="30">
        <f t="shared" si="4"/>
        <v>48182.5</v>
      </c>
      <c r="H40" s="28">
        <v>0</v>
      </c>
      <c r="I40" s="29">
        <f>120456.2-F40</f>
        <v>72273.7</v>
      </c>
      <c r="J40" s="30">
        <f t="shared" si="5"/>
        <v>72273.7</v>
      </c>
      <c r="K40" s="28">
        <v>0</v>
      </c>
      <c r="L40" s="29">
        <v>0</v>
      </c>
      <c r="M40" s="30">
        <f t="shared" si="6"/>
        <v>0</v>
      </c>
      <c r="N40" s="30"/>
      <c r="O40" s="29">
        <v>0</v>
      </c>
      <c r="P40" s="30">
        <f t="shared" si="9"/>
        <v>0</v>
      </c>
      <c r="Q40" s="31"/>
    </row>
    <row r="41" spans="1:17" ht="60.75">
      <c r="A41" s="82" t="s">
        <v>59</v>
      </c>
      <c r="B41" s="32" t="s">
        <v>66</v>
      </c>
      <c r="C41" s="28">
        <f t="shared" si="3"/>
        <v>2195973</v>
      </c>
      <c r="D41" s="28">
        <f t="shared" si="3"/>
        <v>2195973</v>
      </c>
      <c r="E41" s="28">
        <f t="shared" si="3"/>
        <v>0</v>
      </c>
      <c r="F41" s="29">
        <v>329396</v>
      </c>
      <c r="G41" s="30">
        <f t="shared" si="4"/>
        <v>329396</v>
      </c>
      <c r="H41" s="28">
        <v>0</v>
      </c>
      <c r="I41" s="29">
        <f>988187.9-F41</f>
        <v>658791.9</v>
      </c>
      <c r="J41" s="30">
        <f t="shared" si="5"/>
        <v>658791.9</v>
      </c>
      <c r="K41" s="28">
        <v>0</v>
      </c>
      <c r="L41" s="29">
        <f>1866577.1-I41-F41</f>
        <v>878389.2000000002</v>
      </c>
      <c r="M41" s="30">
        <f t="shared" si="6"/>
        <v>878389.2000000002</v>
      </c>
      <c r="N41" s="30"/>
      <c r="O41" s="29">
        <f>2195973-L41-I41-F41</f>
        <v>329395.8999999998</v>
      </c>
      <c r="P41" s="30">
        <f t="shared" si="9"/>
        <v>329395.8999999998</v>
      </c>
      <c r="Q41" s="84"/>
    </row>
    <row r="42" spans="1:17" ht="60.75">
      <c r="A42" s="35" t="s">
        <v>60</v>
      </c>
      <c r="B42" s="32" t="s">
        <v>67</v>
      </c>
      <c r="C42" s="28">
        <f t="shared" si="3"/>
        <v>570432</v>
      </c>
      <c r="D42" s="28">
        <f t="shared" si="3"/>
        <v>570432</v>
      </c>
      <c r="E42" s="28">
        <f t="shared" si="3"/>
        <v>0</v>
      </c>
      <c r="F42" s="29"/>
      <c r="G42" s="30">
        <f t="shared" si="4"/>
        <v>0</v>
      </c>
      <c r="H42" s="28"/>
      <c r="I42" s="29"/>
      <c r="J42" s="30">
        <f t="shared" si="5"/>
        <v>0</v>
      </c>
      <c r="K42" s="28">
        <v>0</v>
      </c>
      <c r="L42" s="29">
        <v>228172.8</v>
      </c>
      <c r="M42" s="30">
        <f t="shared" si="6"/>
        <v>228172.8</v>
      </c>
      <c r="N42" s="30"/>
      <c r="O42" s="29">
        <f>570432-L42</f>
        <v>342259.2</v>
      </c>
      <c r="P42" s="30">
        <f t="shared" si="9"/>
        <v>342259.2</v>
      </c>
      <c r="Q42" s="84"/>
    </row>
    <row r="43" spans="1:18" ht="60.75">
      <c r="A43" s="35" t="s">
        <v>61</v>
      </c>
      <c r="B43" s="32" t="s">
        <v>68</v>
      </c>
      <c r="C43" s="28">
        <f t="shared" si="3"/>
        <v>171177.2</v>
      </c>
      <c r="D43" s="28">
        <f t="shared" si="3"/>
        <v>171177.2</v>
      </c>
      <c r="E43" s="28">
        <f t="shared" si="3"/>
        <v>0</v>
      </c>
      <c r="F43" s="29">
        <v>25676.6</v>
      </c>
      <c r="G43" s="30">
        <f t="shared" si="4"/>
        <v>25676.6</v>
      </c>
      <c r="H43" s="28">
        <v>0</v>
      </c>
      <c r="I43" s="29">
        <v>0</v>
      </c>
      <c r="J43" s="30">
        <f t="shared" si="5"/>
        <v>0</v>
      </c>
      <c r="K43" s="28"/>
      <c r="L43" s="29">
        <f>42794.3-F43</f>
        <v>17117.700000000004</v>
      </c>
      <c r="M43" s="30">
        <f t="shared" si="6"/>
        <v>17117.700000000004</v>
      </c>
      <c r="N43" s="30"/>
      <c r="O43" s="29">
        <f>171177.2-L43-F43</f>
        <v>128382.9</v>
      </c>
      <c r="P43" s="30">
        <f t="shared" si="9"/>
        <v>128382.9</v>
      </c>
      <c r="Q43" s="84"/>
      <c r="R43" s="85"/>
    </row>
    <row r="44" spans="1:17" ht="60.75">
      <c r="A44" s="35" t="s">
        <v>62</v>
      </c>
      <c r="B44" s="32" t="s">
        <v>69</v>
      </c>
      <c r="C44" s="28">
        <f aca="true" t="shared" si="10" ref="C44:E49">F44+I44+L44+O44</f>
        <v>27808.6</v>
      </c>
      <c r="D44" s="28">
        <f t="shared" si="10"/>
        <v>27808.6</v>
      </c>
      <c r="E44" s="28">
        <f t="shared" si="10"/>
        <v>27940.61</v>
      </c>
      <c r="F44" s="29">
        <v>27808.6</v>
      </c>
      <c r="G44" s="30">
        <f t="shared" si="4"/>
        <v>27808.6</v>
      </c>
      <c r="H44" s="28">
        <v>27940.61</v>
      </c>
      <c r="I44" s="29"/>
      <c r="J44" s="30">
        <f t="shared" si="5"/>
        <v>0</v>
      </c>
      <c r="K44" s="28">
        <v>0</v>
      </c>
      <c r="L44" s="29">
        <v>0</v>
      </c>
      <c r="M44" s="30">
        <f t="shared" si="6"/>
        <v>0</v>
      </c>
      <c r="N44" s="30"/>
      <c r="O44" s="29">
        <v>0</v>
      </c>
      <c r="P44" s="30">
        <f t="shared" si="9"/>
        <v>0</v>
      </c>
      <c r="Q44" s="31"/>
    </row>
    <row r="45" spans="1:17" ht="51.75" customHeight="1" thickBot="1">
      <c r="A45" s="35" t="s">
        <v>80</v>
      </c>
      <c r="B45" s="32" t="s">
        <v>70</v>
      </c>
      <c r="C45" s="28">
        <f t="shared" si="10"/>
        <v>198795.6</v>
      </c>
      <c r="D45" s="28">
        <f t="shared" si="10"/>
        <v>198795.6</v>
      </c>
      <c r="E45" s="28">
        <f t="shared" si="10"/>
        <v>67011.8</v>
      </c>
      <c r="F45" s="29">
        <v>49698.9</v>
      </c>
      <c r="G45" s="30">
        <f t="shared" si="4"/>
        <v>49698.9</v>
      </c>
      <c r="H45" s="30">
        <v>0</v>
      </c>
      <c r="I45" s="29">
        <f>99397.8-F45</f>
        <v>49698.9</v>
      </c>
      <c r="J45" s="30">
        <f t="shared" si="5"/>
        <v>49698.9</v>
      </c>
      <c r="K45" s="28">
        <v>67011.8</v>
      </c>
      <c r="L45" s="29">
        <f>149096.7-I45-F45</f>
        <v>49698.900000000016</v>
      </c>
      <c r="M45" s="30">
        <f t="shared" si="6"/>
        <v>49698.900000000016</v>
      </c>
      <c r="N45" s="30"/>
      <c r="O45" s="29">
        <f>198795.6-L45-I45-F45</f>
        <v>49698.89999999999</v>
      </c>
      <c r="P45" s="30">
        <f t="shared" si="9"/>
        <v>49698.89999999999</v>
      </c>
      <c r="Q45" s="31"/>
    </row>
    <row r="46" spans="1:17" ht="48.75" customHeight="1">
      <c r="A46" s="76" t="s">
        <v>83</v>
      </c>
      <c r="B46" s="32" t="s">
        <v>71</v>
      </c>
      <c r="C46" s="28">
        <f t="shared" si="10"/>
        <v>1394420.9</v>
      </c>
      <c r="D46" s="28">
        <f t="shared" si="10"/>
        <v>1394420.9</v>
      </c>
      <c r="E46" s="28">
        <f t="shared" si="10"/>
        <v>0</v>
      </c>
      <c r="F46" s="29">
        <v>343306.5</v>
      </c>
      <c r="G46" s="30">
        <f t="shared" si="4"/>
        <v>343306.5</v>
      </c>
      <c r="H46" s="30">
        <v>0</v>
      </c>
      <c r="I46" s="29">
        <f>773323.7-F46</f>
        <v>430017.19999999995</v>
      </c>
      <c r="J46" s="30">
        <f t="shared" si="5"/>
        <v>430017.19999999995</v>
      </c>
      <c r="K46" s="28">
        <v>0</v>
      </c>
      <c r="L46" s="29">
        <f>1379842-I46-F46</f>
        <v>606518.3</v>
      </c>
      <c r="M46" s="30">
        <f t="shared" si="6"/>
        <v>606518.3</v>
      </c>
      <c r="N46" s="30"/>
      <c r="O46" s="29">
        <f>1394420.9-L46-I46-F46</f>
        <v>14578.899999999907</v>
      </c>
      <c r="P46" s="30">
        <f t="shared" si="9"/>
        <v>14578.899999999907</v>
      </c>
      <c r="Q46" s="31"/>
    </row>
    <row r="47" spans="1:18" ht="60" customHeight="1">
      <c r="A47" s="35" t="s">
        <v>84</v>
      </c>
      <c r="B47" s="32" t="s">
        <v>72</v>
      </c>
      <c r="C47" s="28">
        <f t="shared" si="10"/>
        <v>626429.4</v>
      </c>
      <c r="D47" s="28">
        <f t="shared" si="10"/>
        <v>626429.4</v>
      </c>
      <c r="E47" s="28">
        <f t="shared" si="10"/>
        <v>972147.6</v>
      </c>
      <c r="F47" s="29">
        <v>376910.5</v>
      </c>
      <c r="G47" s="30">
        <f t="shared" si="4"/>
        <v>376910.5</v>
      </c>
      <c r="H47" s="30">
        <v>972147.6</v>
      </c>
      <c r="I47" s="29">
        <f>558988.1-F47</f>
        <v>182077.59999999998</v>
      </c>
      <c r="J47" s="30">
        <f t="shared" si="5"/>
        <v>182077.59999999998</v>
      </c>
      <c r="K47" s="28">
        <v>0</v>
      </c>
      <c r="L47" s="29">
        <f>617187-I47-F47</f>
        <v>58198.90000000002</v>
      </c>
      <c r="M47" s="30">
        <f t="shared" si="6"/>
        <v>58198.90000000002</v>
      </c>
      <c r="N47" s="30"/>
      <c r="O47" s="29">
        <f>626429.4-L47-I47-F47</f>
        <v>9242.400000000023</v>
      </c>
      <c r="P47" s="30">
        <f t="shared" si="9"/>
        <v>9242.400000000023</v>
      </c>
      <c r="Q47" s="31"/>
      <c r="R47" s="33"/>
    </row>
    <row r="48" spans="1:18" ht="58.5" customHeight="1">
      <c r="A48" s="35" t="s">
        <v>98</v>
      </c>
      <c r="B48" s="32" t="s">
        <v>79</v>
      </c>
      <c r="C48" s="28">
        <f t="shared" si="10"/>
        <v>0</v>
      </c>
      <c r="D48" s="28">
        <f t="shared" si="10"/>
        <v>1376571.6</v>
      </c>
      <c r="E48" s="28">
        <f t="shared" si="10"/>
        <v>584506.8200000001</v>
      </c>
      <c r="F48" s="29"/>
      <c r="G48" s="30">
        <v>128944.2</v>
      </c>
      <c r="H48" s="30">
        <v>303511.38</v>
      </c>
      <c r="I48" s="29"/>
      <c r="J48" s="30">
        <f>622966.5-G48</f>
        <v>494022.3</v>
      </c>
      <c r="K48" s="28">
        <v>280995.44</v>
      </c>
      <c r="L48" s="29"/>
      <c r="M48" s="30">
        <f>1203395.7-(G48+J48)</f>
        <v>580429.2</v>
      </c>
      <c r="N48" s="30"/>
      <c r="O48" s="29"/>
      <c r="P48" s="30">
        <f>1376571.6-(G48+J48+M48)</f>
        <v>173175.90000000014</v>
      </c>
      <c r="Q48" s="31"/>
      <c r="R48" s="33"/>
    </row>
    <row r="49" spans="1:18" ht="102" customHeight="1">
      <c r="A49" s="35" t="s">
        <v>99</v>
      </c>
      <c r="B49" s="32" t="s">
        <v>95</v>
      </c>
      <c r="C49" s="28">
        <f t="shared" si="10"/>
        <v>0</v>
      </c>
      <c r="D49" s="28">
        <f t="shared" si="10"/>
        <v>26717.2</v>
      </c>
      <c r="E49" s="28">
        <f t="shared" si="10"/>
        <v>19840.2</v>
      </c>
      <c r="F49" s="29"/>
      <c r="G49" s="30">
        <v>11877.7</v>
      </c>
      <c r="H49" s="30">
        <v>19840.2</v>
      </c>
      <c r="I49" s="29"/>
      <c r="J49" s="30">
        <v>14839.5</v>
      </c>
      <c r="K49" s="28">
        <v>0</v>
      </c>
      <c r="L49" s="29"/>
      <c r="M49" s="30">
        <v>0</v>
      </c>
      <c r="N49" s="30"/>
      <c r="O49" s="29"/>
      <c r="P49" s="30">
        <v>0</v>
      </c>
      <c r="Q49" s="31"/>
      <c r="R49" s="33"/>
    </row>
    <row r="50" spans="1:18" ht="61.5" thickBot="1">
      <c r="A50" s="35" t="s">
        <v>88</v>
      </c>
      <c r="B50" s="32" t="s">
        <v>89</v>
      </c>
      <c r="C50" s="28">
        <f aca="true" t="shared" si="11" ref="C50:E53">F50+I50+L50+O50</f>
        <v>0</v>
      </c>
      <c r="D50" s="28">
        <f t="shared" si="11"/>
        <v>972147.6</v>
      </c>
      <c r="E50" s="28">
        <f t="shared" si="11"/>
        <v>0</v>
      </c>
      <c r="F50" s="29"/>
      <c r="G50" s="30">
        <v>97214.6</v>
      </c>
      <c r="H50" s="30"/>
      <c r="I50" s="29"/>
      <c r="J50" s="30">
        <f>437466.5-97214.6</f>
        <v>340251.9</v>
      </c>
      <c r="K50" s="28">
        <v>0</v>
      </c>
      <c r="L50" s="29"/>
      <c r="M50" s="30">
        <f>777718-437466.5</f>
        <v>340251.5</v>
      </c>
      <c r="N50" s="30"/>
      <c r="O50" s="29"/>
      <c r="P50" s="30">
        <f>972147.6-777718</f>
        <v>194429.59999999998</v>
      </c>
      <c r="Q50" s="31"/>
      <c r="R50" s="33"/>
    </row>
    <row r="51" spans="1:18" ht="76.5" customHeight="1">
      <c r="A51" s="76" t="s">
        <v>91</v>
      </c>
      <c r="B51" s="32" t="s">
        <v>73</v>
      </c>
      <c r="C51" s="28">
        <f t="shared" si="11"/>
        <v>0</v>
      </c>
      <c r="D51" s="28">
        <f>G51+J51+M51+P51</f>
        <v>183481.7</v>
      </c>
      <c r="E51" s="28">
        <f t="shared" si="11"/>
        <v>357116.45</v>
      </c>
      <c r="F51" s="29"/>
      <c r="G51" s="30">
        <v>0</v>
      </c>
      <c r="H51" s="30">
        <v>357116.45</v>
      </c>
      <c r="I51" s="29"/>
      <c r="J51" s="30">
        <v>183481.7</v>
      </c>
      <c r="K51" s="28">
        <v>0</v>
      </c>
      <c r="L51" s="29"/>
      <c r="M51" s="30"/>
      <c r="N51" s="30"/>
      <c r="O51" s="29"/>
      <c r="P51" s="30"/>
      <c r="Q51" s="31"/>
      <c r="R51" s="33"/>
    </row>
    <row r="52" spans="1:18" ht="61.5" customHeight="1">
      <c r="A52" s="35" t="s">
        <v>103</v>
      </c>
      <c r="B52" s="32" t="s">
        <v>74</v>
      </c>
      <c r="C52" s="28">
        <v>0</v>
      </c>
      <c r="D52" s="28">
        <f>G52+J52+M52+P52</f>
        <v>1539251.7</v>
      </c>
      <c r="E52" s="28">
        <f t="shared" si="11"/>
        <v>780677.1</v>
      </c>
      <c r="F52" s="29">
        <v>1539251.7</v>
      </c>
      <c r="G52" s="30">
        <v>1539251.7</v>
      </c>
      <c r="H52" s="30">
        <v>780677.1</v>
      </c>
      <c r="I52" s="29">
        <v>0</v>
      </c>
      <c r="J52" s="30">
        <v>0</v>
      </c>
      <c r="K52" s="28">
        <v>0</v>
      </c>
      <c r="L52" s="29"/>
      <c r="M52" s="30"/>
      <c r="N52" s="30"/>
      <c r="O52" s="29"/>
      <c r="P52" s="30"/>
      <c r="Q52" s="31"/>
      <c r="R52" s="33"/>
    </row>
    <row r="53" spans="1:18" ht="61.5" customHeight="1">
      <c r="A53" s="35" t="s">
        <v>368</v>
      </c>
      <c r="B53" s="32" t="s">
        <v>372</v>
      </c>
      <c r="C53" s="28">
        <v>0</v>
      </c>
      <c r="D53" s="28">
        <f>G53+J53+M53+P53</f>
        <v>30700.2</v>
      </c>
      <c r="E53" s="28">
        <f t="shared" si="11"/>
        <v>30320.14</v>
      </c>
      <c r="F53" s="29">
        <v>0</v>
      </c>
      <c r="G53" s="30">
        <v>0</v>
      </c>
      <c r="H53" s="30">
        <v>0</v>
      </c>
      <c r="I53" s="29">
        <v>0</v>
      </c>
      <c r="J53" s="30">
        <v>30700.2</v>
      </c>
      <c r="K53" s="28">
        <v>30320.14</v>
      </c>
      <c r="L53" s="29"/>
      <c r="M53" s="30"/>
      <c r="N53" s="30"/>
      <c r="O53" s="29"/>
      <c r="P53" s="30"/>
      <c r="Q53" s="31"/>
      <c r="R53" s="33"/>
    </row>
    <row r="54" spans="1:17" ht="24" customHeight="1" thickBot="1">
      <c r="A54" s="110" t="s">
        <v>100</v>
      </c>
      <c r="B54" s="111"/>
      <c r="C54" s="38">
        <f>SUM(C55:C60)</f>
        <v>130779.2</v>
      </c>
      <c r="D54" s="38">
        <f>SUM(D55:D60)</f>
        <v>603060.4</v>
      </c>
      <c r="E54" s="38">
        <f>SUM(E55:E60)</f>
        <v>100266.78</v>
      </c>
      <c r="F54" s="38">
        <f>SUM(F55:F60)</f>
        <v>107011.2</v>
      </c>
      <c r="G54" s="38">
        <f aca="true" t="shared" si="12" ref="G54:Q54">SUM(G55:G60)</f>
        <v>269334.89999999997</v>
      </c>
      <c r="H54" s="38">
        <f>SUM(H55:H60)</f>
        <v>45681.8</v>
      </c>
      <c r="I54" s="38">
        <f t="shared" si="12"/>
        <v>23768</v>
      </c>
      <c r="J54" s="38">
        <f t="shared" si="12"/>
        <v>212502.80000000002</v>
      </c>
      <c r="K54" s="38">
        <f t="shared" si="12"/>
        <v>54584.979999999996</v>
      </c>
      <c r="L54" s="38">
        <f t="shared" si="12"/>
        <v>0</v>
      </c>
      <c r="M54" s="38">
        <f t="shared" si="12"/>
        <v>73101.80000000002</v>
      </c>
      <c r="N54" s="38">
        <f t="shared" si="12"/>
        <v>0</v>
      </c>
      <c r="O54" s="38">
        <f t="shared" si="12"/>
        <v>0</v>
      </c>
      <c r="P54" s="38">
        <f t="shared" si="12"/>
        <v>48120.899999999994</v>
      </c>
      <c r="Q54" s="39">
        <f t="shared" si="12"/>
        <v>0</v>
      </c>
    </row>
    <row r="55" spans="1:17" ht="42.75" customHeight="1">
      <c r="A55" s="76" t="s">
        <v>25</v>
      </c>
      <c r="B55" s="77" t="s">
        <v>75</v>
      </c>
      <c r="C55" s="78">
        <f aca="true" t="shared" si="13" ref="C55:E60">F55+I55+L55+O55</f>
        <v>6000</v>
      </c>
      <c r="D55" s="78">
        <f t="shared" si="13"/>
        <v>16000</v>
      </c>
      <c r="E55" s="78">
        <f t="shared" si="13"/>
        <v>22916.68</v>
      </c>
      <c r="F55" s="79">
        <v>6000</v>
      </c>
      <c r="G55" s="80">
        <f>F55+0</f>
        <v>6000</v>
      </c>
      <c r="H55" s="78">
        <v>0</v>
      </c>
      <c r="I55" s="79">
        <v>0</v>
      </c>
      <c r="J55" s="80">
        <v>10000</v>
      </c>
      <c r="K55" s="78">
        <v>22916.68</v>
      </c>
      <c r="L55" s="79">
        <v>0</v>
      </c>
      <c r="M55" s="80">
        <f>L55+0</f>
        <v>0</v>
      </c>
      <c r="N55" s="80">
        <v>0</v>
      </c>
      <c r="O55" s="79">
        <v>0</v>
      </c>
      <c r="P55" s="80">
        <f>O55+0</f>
        <v>0</v>
      </c>
      <c r="Q55" s="81"/>
    </row>
    <row r="56" spans="1:17" ht="40.5" customHeight="1">
      <c r="A56" s="35" t="s">
        <v>26</v>
      </c>
      <c r="B56" s="21" t="s">
        <v>379</v>
      </c>
      <c r="C56" s="28">
        <f t="shared" si="13"/>
        <v>9337.2</v>
      </c>
      <c r="D56" s="28">
        <f t="shared" si="13"/>
        <v>9337.2</v>
      </c>
      <c r="E56" s="28">
        <f t="shared" si="13"/>
        <v>1854.32</v>
      </c>
      <c r="F56" s="29">
        <v>9337.2</v>
      </c>
      <c r="G56" s="30">
        <f>F56+0</f>
        <v>9337.2</v>
      </c>
      <c r="H56" s="28">
        <v>1854.32</v>
      </c>
      <c r="I56" s="29">
        <v>0</v>
      </c>
      <c r="J56" s="30">
        <v>0</v>
      </c>
      <c r="K56" s="28">
        <v>0</v>
      </c>
      <c r="L56" s="29">
        <v>0</v>
      </c>
      <c r="M56" s="30">
        <f>L56+0</f>
        <v>0</v>
      </c>
      <c r="N56" s="30"/>
      <c r="O56" s="29">
        <v>0</v>
      </c>
      <c r="P56" s="30">
        <f>O56+0</f>
        <v>0</v>
      </c>
      <c r="Q56" s="31"/>
    </row>
    <row r="57" spans="1:17" ht="45" customHeight="1">
      <c r="A57" s="35" t="s">
        <v>1</v>
      </c>
      <c r="B57" s="32" t="s">
        <v>77</v>
      </c>
      <c r="C57" s="28">
        <f t="shared" si="13"/>
        <v>47536</v>
      </c>
      <c r="D57" s="28">
        <f t="shared" si="13"/>
        <v>47536</v>
      </c>
      <c r="E57" s="28">
        <f t="shared" si="13"/>
        <v>23162.5</v>
      </c>
      <c r="F57" s="29">
        <v>23768</v>
      </c>
      <c r="G57" s="30">
        <f>F57+0</f>
        <v>23768</v>
      </c>
      <c r="H57" s="28">
        <v>23162.5</v>
      </c>
      <c r="I57" s="29">
        <f>47536-23768</f>
        <v>23768</v>
      </c>
      <c r="J57" s="30">
        <f>I57+0</f>
        <v>23768</v>
      </c>
      <c r="K57" s="28">
        <v>0</v>
      </c>
      <c r="L57" s="29">
        <f>47536-47536</f>
        <v>0</v>
      </c>
      <c r="M57" s="30">
        <f>L57+0</f>
        <v>0</v>
      </c>
      <c r="N57" s="30"/>
      <c r="O57" s="29">
        <f>0</f>
        <v>0</v>
      </c>
      <c r="P57" s="30">
        <f>O57+0</f>
        <v>0</v>
      </c>
      <c r="Q57" s="31"/>
    </row>
    <row r="58" spans="1:17" ht="34.5" customHeight="1">
      <c r="A58" s="35" t="s">
        <v>28</v>
      </c>
      <c r="B58" s="32" t="s">
        <v>78</v>
      </c>
      <c r="C58" s="28">
        <f t="shared" si="13"/>
        <v>67906</v>
      </c>
      <c r="D58" s="28">
        <f t="shared" si="13"/>
        <v>167017.1</v>
      </c>
      <c r="E58" s="28">
        <f t="shared" si="13"/>
        <v>36569.38</v>
      </c>
      <c r="F58" s="29">
        <v>67906</v>
      </c>
      <c r="G58" s="30">
        <f>F58+0</f>
        <v>67906</v>
      </c>
      <c r="H58" s="28">
        <v>11188.58</v>
      </c>
      <c r="I58" s="29">
        <v>0</v>
      </c>
      <c r="J58" s="30">
        <v>99111.1</v>
      </c>
      <c r="K58" s="28">
        <v>25380.8</v>
      </c>
      <c r="L58" s="29">
        <v>0</v>
      </c>
      <c r="M58" s="30">
        <v>0</v>
      </c>
      <c r="N58" s="30"/>
      <c r="O58" s="29">
        <v>0</v>
      </c>
      <c r="P58" s="30">
        <v>0</v>
      </c>
      <c r="Q58" s="31"/>
    </row>
    <row r="59" spans="1:18" ht="35.25" customHeight="1">
      <c r="A59" s="35" t="s">
        <v>2</v>
      </c>
      <c r="B59" s="32" t="s">
        <v>92</v>
      </c>
      <c r="C59" s="28">
        <f>F59+I59+L59+O59</f>
        <v>0</v>
      </c>
      <c r="D59" s="28">
        <f>G59+J59+M59+P59</f>
        <v>293520.5</v>
      </c>
      <c r="E59" s="28">
        <f>H59+K59+N59+Q59</f>
        <v>0</v>
      </c>
      <c r="F59" s="29"/>
      <c r="G59" s="30">
        <v>149600.4</v>
      </c>
      <c r="H59" s="30">
        <v>0</v>
      </c>
      <c r="I59" s="29"/>
      <c r="J59" s="30">
        <f>209716.5-149600.4</f>
        <v>60116.100000000006</v>
      </c>
      <c r="K59" s="28">
        <v>0</v>
      </c>
      <c r="L59" s="29"/>
      <c r="M59" s="30">
        <f>248574.6-209716.5</f>
        <v>38858.100000000006</v>
      </c>
      <c r="N59" s="30"/>
      <c r="O59" s="29"/>
      <c r="P59" s="30">
        <f>293520.5-248574.6</f>
        <v>44945.899999999994</v>
      </c>
      <c r="Q59" s="31"/>
      <c r="R59" s="33"/>
    </row>
    <row r="60" spans="1:18" ht="41.25" thickBot="1">
      <c r="A60" s="86" t="s">
        <v>3</v>
      </c>
      <c r="B60" s="87" t="s">
        <v>377</v>
      </c>
      <c r="C60" s="88">
        <f t="shared" si="13"/>
        <v>0</v>
      </c>
      <c r="D60" s="88">
        <f t="shared" si="13"/>
        <v>69649.6</v>
      </c>
      <c r="E60" s="88">
        <f t="shared" si="13"/>
        <v>15763.9</v>
      </c>
      <c r="F60" s="89">
        <v>0</v>
      </c>
      <c r="G60" s="90">
        <v>12723.3</v>
      </c>
      <c r="H60" s="90">
        <v>9476.4</v>
      </c>
      <c r="I60" s="89"/>
      <c r="J60" s="90">
        <v>19507.6</v>
      </c>
      <c r="K60" s="88">
        <v>6287.5</v>
      </c>
      <c r="L60" s="89"/>
      <c r="M60" s="90">
        <f>50576.3-16332.6</f>
        <v>34243.700000000004</v>
      </c>
      <c r="N60" s="90"/>
      <c r="O60" s="89"/>
      <c r="P60" s="90">
        <f>53751.3-50576.3</f>
        <v>3175</v>
      </c>
      <c r="Q60" s="91"/>
      <c r="R60" s="33"/>
    </row>
    <row r="62" ht="18.75">
      <c r="B62" s="34" t="s">
        <v>374</v>
      </c>
    </row>
    <row r="63" ht="18.75">
      <c r="B63" s="34" t="s">
        <v>375</v>
      </c>
    </row>
    <row r="65" ht="18.75">
      <c r="B65" s="34" t="s">
        <v>81</v>
      </c>
    </row>
    <row r="66" ht="18.75">
      <c r="B66" s="34" t="s">
        <v>82</v>
      </c>
    </row>
    <row r="67" ht="18.75">
      <c r="B67" s="34" t="s">
        <v>85</v>
      </c>
    </row>
    <row r="68" ht="18.75">
      <c r="B68" s="34" t="s">
        <v>87</v>
      </c>
    </row>
    <row r="69" ht="18.75">
      <c r="B69" s="34" t="s">
        <v>90</v>
      </c>
    </row>
    <row r="70" ht="18.75">
      <c r="B70" s="34" t="s">
        <v>93</v>
      </c>
    </row>
    <row r="71" ht="18.75">
      <c r="B71" s="34" t="s">
        <v>94</v>
      </c>
    </row>
    <row r="72" ht="18.75">
      <c r="B72" s="34" t="s">
        <v>373</v>
      </c>
    </row>
    <row r="73" ht="18.75">
      <c r="B73" s="34" t="s">
        <v>376</v>
      </c>
    </row>
  </sheetData>
  <sheetProtection/>
  <mergeCells count="13">
    <mergeCell ref="A54:B54"/>
    <mergeCell ref="I8:K8"/>
    <mergeCell ref="L8:N8"/>
    <mergeCell ref="O8:Q8"/>
    <mergeCell ref="A10:B10"/>
    <mergeCell ref="A11:B11"/>
    <mergeCell ref="A15:B15"/>
    <mergeCell ref="B4:O4"/>
    <mergeCell ref="B1:O1"/>
    <mergeCell ref="B2:O2"/>
    <mergeCell ref="A8:B9"/>
    <mergeCell ref="C8:E8"/>
    <mergeCell ref="F8:H8"/>
  </mergeCells>
  <printOptions/>
  <pageMargins left="0.16" right="0.16" top="0.23" bottom="0.16" header="0.26" footer="0.16"/>
  <pageSetup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42" bestFit="1" customWidth="1"/>
    <col min="2" max="2" width="16.28125" style="42" bestFit="1" customWidth="1"/>
    <col min="3" max="4" width="16.8515625" style="42" customWidth="1"/>
    <col min="5" max="5" width="34.140625" style="42" customWidth="1"/>
    <col min="6" max="7" width="16.8515625" style="42" customWidth="1"/>
    <col min="8" max="8" width="18.7109375" style="42" customWidth="1"/>
    <col min="9" max="9" width="19.8515625" style="42" customWidth="1"/>
    <col min="10" max="10" width="20.7109375" style="42" customWidth="1"/>
    <col min="11" max="11" width="19.7109375" style="42" customWidth="1"/>
    <col min="12" max="12" width="19.57421875" style="43" customWidth="1"/>
    <col min="13" max="13" width="19.421875" style="42" customWidth="1"/>
    <col min="14" max="14" width="16.8515625" style="42" customWidth="1"/>
    <col min="15" max="15" width="21.7109375" style="42" customWidth="1"/>
    <col min="16" max="16" width="23.00390625" style="42" customWidth="1"/>
    <col min="17" max="17" width="18.57421875" style="42" customWidth="1"/>
    <col min="18" max="22" width="16.8515625" style="42" customWidth="1"/>
    <col min="23" max="23" width="20.8515625" style="42" customWidth="1"/>
    <col min="24" max="25" width="16.8515625" style="42" customWidth="1"/>
    <col min="26" max="16384" width="9.140625" style="42" customWidth="1"/>
  </cols>
  <sheetData>
    <row r="1" spans="1:19" ht="12.75">
      <c r="A1" s="117" t="s">
        <v>104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41"/>
      <c r="R1" s="41"/>
      <c r="S1" s="41"/>
    </row>
    <row r="2" spans="1:19" ht="12.75">
      <c r="A2" s="117" t="s">
        <v>105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41"/>
      <c r="R2" s="41"/>
      <c r="S2" s="41"/>
    </row>
    <row r="3" spans="1:19" ht="12.75">
      <c r="A3" s="117" t="s">
        <v>106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41"/>
      <c r="R3" s="41"/>
      <c r="S3" s="41"/>
    </row>
    <row r="4" spans="1:19" ht="12.75">
      <c r="A4" s="118" t="s">
        <v>107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41"/>
      <c r="R4" s="41"/>
      <c r="S4" s="41"/>
    </row>
    <row r="5" spans="1:19" ht="12.75">
      <c r="A5" s="118" t="s">
        <v>108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41"/>
      <c r="R5" s="41"/>
      <c r="S5" s="41"/>
    </row>
    <row r="6" spans="1:19" ht="12.75">
      <c r="A6" s="118" t="s">
        <v>367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41"/>
      <c r="R6" s="41"/>
      <c r="S6" s="41"/>
    </row>
    <row r="7" ht="13.5" thickBot="1">
      <c r="O7" s="42" t="s">
        <v>0</v>
      </c>
    </row>
    <row r="8" spans="1:25" ht="12.75">
      <c r="A8" s="121" t="s">
        <v>109</v>
      </c>
      <c r="B8" s="123" t="s">
        <v>110</v>
      </c>
      <c r="C8" s="123"/>
      <c r="D8" s="124" t="s">
        <v>111</v>
      </c>
      <c r="E8" s="123" t="s">
        <v>112</v>
      </c>
      <c r="F8" s="123"/>
      <c r="G8" s="123"/>
      <c r="H8" s="123" t="s">
        <v>113</v>
      </c>
      <c r="I8" s="126"/>
      <c r="J8" s="126"/>
      <c r="K8" s="126"/>
      <c r="L8" s="123" t="s">
        <v>114</v>
      </c>
      <c r="M8" s="126"/>
      <c r="N8" s="126"/>
      <c r="O8" s="126"/>
      <c r="P8" s="129" t="s">
        <v>115</v>
      </c>
      <c r="Q8" s="119" t="s">
        <v>116</v>
      </c>
      <c r="R8" s="119" t="s">
        <v>117</v>
      </c>
      <c r="S8" s="119" t="s">
        <v>118</v>
      </c>
      <c r="T8" s="119" t="s">
        <v>119</v>
      </c>
      <c r="U8" s="119" t="s">
        <v>120</v>
      </c>
      <c r="V8" s="119" t="s">
        <v>121</v>
      </c>
      <c r="W8" s="119" t="s">
        <v>122</v>
      </c>
      <c r="X8" s="119" t="s">
        <v>123</v>
      </c>
      <c r="Y8" s="133" t="s">
        <v>124</v>
      </c>
    </row>
    <row r="9" spans="1:25" ht="12.75">
      <c r="A9" s="122"/>
      <c r="B9" s="127" t="s">
        <v>125</v>
      </c>
      <c r="C9" s="135" t="s">
        <v>126</v>
      </c>
      <c r="D9" s="125"/>
      <c r="E9" s="127" t="s">
        <v>127</v>
      </c>
      <c r="F9" s="127" t="s">
        <v>128</v>
      </c>
      <c r="G9" s="127" t="s">
        <v>129</v>
      </c>
      <c r="H9" s="127" t="s">
        <v>130</v>
      </c>
      <c r="I9" s="128"/>
      <c r="J9" s="127" t="s">
        <v>131</v>
      </c>
      <c r="K9" s="127"/>
      <c r="L9" s="127" t="s">
        <v>130</v>
      </c>
      <c r="M9" s="128"/>
      <c r="N9" s="127" t="s">
        <v>131</v>
      </c>
      <c r="O9" s="127"/>
      <c r="P9" s="130"/>
      <c r="Q9" s="120"/>
      <c r="R9" s="120"/>
      <c r="S9" s="120"/>
      <c r="T9" s="120"/>
      <c r="U9" s="120"/>
      <c r="V9" s="120"/>
      <c r="W9" s="120"/>
      <c r="X9" s="120"/>
      <c r="Y9" s="134"/>
    </row>
    <row r="10" spans="1:25" ht="12.75">
      <c r="A10" s="122"/>
      <c r="B10" s="127"/>
      <c r="C10" s="135"/>
      <c r="D10" s="125"/>
      <c r="E10" s="127"/>
      <c r="F10" s="127"/>
      <c r="G10" s="127"/>
      <c r="H10" s="128"/>
      <c r="I10" s="128"/>
      <c r="J10" s="127"/>
      <c r="K10" s="127"/>
      <c r="L10" s="128"/>
      <c r="M10" s="128"/>
      <c r="N10" s="127"/>
      <c r="O10" s="127"/>
      <c r="P10" s="130"/>
      <c r="Q10" s="120"/>
      <c r="R10" s="120"/>
      <c r="S10" s="120"/>
      <c r="T10" s="120"/>
      <c r="U10" s="120"/>
      <c r="V10" s="120"/>
      <c r="W10" s="120"/>
      <c r="X10" s="120"/>
      <c r="Y10" s="134"/>
    </row>
    <row r="11" spans="1:25" ht="57">
      <c r="A11" s="122"/>
      <c r="B11" s="127"/>
      <c r="C11" s="135"/>
      <c r="D11" s="125"/>
      <c r="E11" s="127"/>
      <c r="F11" s="127"/>
      <c r="G11" s="127"/>
      <c r="H11" s="44" t="s">
        <v>132</v>
      </c>
      <c r="I11" s="73" t="s">
        <v>133</v>
      </c>
      <c r="J11" s="44" t="s">
        <v>132</v>
      </c>
      <c r="K11" s="73" t="s">
        <v>133</v>
      </c>
      <c r="L11" s="44" t="s">
        <v>132</v>
      </c>
      <c r="M11" s="73" t="s">
        <v>133</v>
      </c>
      <c r="N11" s="44" t="s">
        <v>132</v>
      </c>
      <c r="O11" s="73" t="s">
        <v>133</v>
      </c>
      <c r="P11" s="130"/>
      <c r="Q11" s="120"/>
      <c r="R11" s="120"/>
      <c r="S11" s="120"/>
      <c r="T11" s="120"/>
      <c r="U11" s="120"/>
      <c r="V11" s="120"/>
      <c r="W11" s="120"/>
      <c r="X11" s="120"/>
      <c r="Y11" s="134"/>
    </row>
    <row r="12" spans="1:25" ht="12.75">
      <c r="A12" s="45">
        <v>1</v>
      </c>
      <c r="B12" s="46">
        <v>2</v>
      </c>
      <c r="C12" s="47" t="s">
        <v>1</v>
      </c>
      <c r="D12" s="47">
        <v>4</v>
      </c>
      <c r="E12" s="47" t="s">
        <v>2</v>
      </c>
      <c r="F12" s="47" t="s">
        <v>3</v>
      </c>
      <c r="G12" s="47" t="s">
        <v>4</v>
      </c>
      <c r="H12" s="47" t="s">
        <v>5</v>
      </c>
      <c r="I12" s="47" t="s">
        <v>6</v>
      </c>
      <c r="J12" s="47" t="s">
        <v>7</v>
      </c>
      <c r="K12" s="47" t="s">
        <v>8</v>
      </c>
      <c r="L12" s="47" t="s">
        <v>9</v>
      </c>
      <c r="M12" s="47" t="s">
        <v>10</v>
      </c>
      <c r="N12" s="47" t="s">
        <v>11</v>
      </c>
      <c r="O12" s="47" t="s">
        <v>12</v>
      </c>
      <c r="P12" s="47" t="s">
        <v>13</v>
      </c>
      <c r="Q12" s="47" t="s">
        <v>29</v>
      </c>
      <c r="R12" s="47" t="s">
        <v>30</v>
      </c>
      <c r="S12" s="47" t="s">
        <v>52</v>
      </c>
      <c r="T12" s="47" t="s">
        <v>53</v>
      </c>
      <c r="U12" s="47" t="s">
        <v>54</v>
      </c>
      <c r="V12" s="47" t="s">
        <v>55</v>
      </c>
      <c r="W12" s="47" t="s">
        <v>56</v>
      </c>
      <c r="X12" s="47" t="s">
        <v>57</v>
      </c>
      <c r="Y12" s="48" t="s">
        <v>58</v>
      </c>
    </row>
    <row r="13" spans="1:25" s="94" customFormat="1" ht="76.5">
      <c r="A13" s="49">
        <v>1</v>
      </c>
      <c r="B13" s="50"/>
      <c r="C13" s="50" t="s">
        <v>134</v>
      </c>
      <c r="D13" s="50" t="s">
        <v>135</v>
      </c>
      <c r="E13" s="50" t="s">
        <v>136</v>
      </c>
      <c r="F13" s="50" t="s">
        <v>137</v>
      </c>
      <c r="G13" s="50" t="s">
        <v>138</v>
      </c>
      <c r="H13" s="51">
        <v>112896.4</v>
      </c>
      <c r="I13" s="50" t="s">
        <v>139</v>
      </c>
      <c r="J13" s="51">
        <v>28616.7</v>
      </c>
      <c r="K13" s="92" t="s">
        <v>140</v>
      </c>
      <c r="L13" s="51">
        <f>31668.12+31081.26</f>
        <v>62749.38</v>
      </c>
      <c r="M13" s="92" t="s">
        <v>140</v>
      </c>
      <c r="N13" s="51">
        <v>31081.26</v>
      </c>
      <c r="O13" s="92" t="s">
        <v>140</v>
      </c>
      <c r="P13" s="50"/>
      <c r="Q13" s="46" t="s">
        <v>141</v>
      </c>
      <c r="R13" s="46" t="s">
        <v>142</v>
      </c>
      <c r="S13" s="46"/>
      <c r="T13" s="46" t="s">
        <v>143</v>
      </c>
      <c r="U13" s="46">
        <v>104021</v>
      </c>
      <c r="V13" s="46" t="s">
        <v>144</v>
      </c>
      <c r="W13" s="93" t="s">
        <v>145</v>
      </c>
      <c r="X13" s="46" t="s">
        <v>146</v>
      </c>
      <c r="Y13" s="52" t="s">
        <v>147</v>
      </c>
    </row>
    <row r="14" spans="1:25" ht="76.5">
      <c r="A14" s="45">
        <v>2</v>
      </c>
      <c r="B14" s="50" t="s">
        <v>148</v>
      </c>
      <c r="C14" s="50"/>
      <c r="D14" s="50" t="s">
        <v>149</v>
      </c>
      <c r="E14" s="50" t="s">
        <v>34</v>
      </c>
      <c r="F14" s="50" t="s">
        <v>137</v>
      </c>
      <c r="G14" s="50" t="s">
        <v>150</v>
      </c>
      <c r="H14" s="51">
        <v>3000000</v>
      </c>
      <c r="I14" s="50" t="s">
        <v>151</v>
      </c>
      <c r="J14" s="51">
        <v>24920.7</v>
      </c>
      <c r="K14" s="53" t="s">
        <v>140</v>
      </c>
      <c r="L14" s="51">
        <v>0</v>
      </c>
      <c r="M14" s="53" t="s">
        <v>140</v>
      </c>
      <c r="N14" s="51">
        <v>0</v>
      </c>
      <c r="O14" s="53" t="s">
        <v>140</v>
      </c>
      <c r="P14" s="46"/>
      <c r="Q14" s="46" t="s">
        <v>141</v>
      </c>
      <c r="R14" s="46" t="s">
        <v>142</v>
      </c>
      <c r="S14" s="46"/>
      <c r="T14" s="46" t="s">
        <v>143</v>
      </c>
      <c r="U14" s="46">
        <v>104021</v>
      </c>
      <c r="V14" s="46" t="s">
        <v>144</v>
      </c>
      <c r="W14" s="93" t="s">
        <v>145</v>
      </c>
      <c r="X14" s="46" t="s">
        <v>146</v>
      </c>
      <c r="Y14" s="52" t="s">
        <v>147</v>
      </c>
    </row>
    <row r="15" spans="1:25" ht="76.5">
      <c r="A15" s="49">
        <v>3</v>
      </c>
      <c r="B15" s="50" t="s">
        <v>152</v>
      </c>
      <c r="C15" s="50" t="s">
        <v>153</v>
      </c>
      <c r="D15" s="50" t="s">
        <v>149</v>
      </c>
      <c r="E15" s="50" t="s">
        <v>154</v>
      </c>
      <c r="F15" s="50" t="s">
        <v>137</v>
      </c>
      <c r="G15" s="50" t="s">
        <v>150</v>
      </c>
      <c r="H15" s="51">
        <v>200000</v>
      </c>
      <c r="I15" s="50" t="s">
        <v>151</v>
      </c>
      <c r="J15" s="51">
        <v>22350</v>
      </c>
      <c r="K15" s="53" t="s">
        <v>140</v>
      </c>
      <c r="L15" s="54">
        <f>33688.32+22079.62</f>
        <v>55767.94</v>
      </c>
      <c r="M15" s="53" t="s">
        <v>140</v>
      </c>
      <c r="N15" s="51">
        <v>22079.62</v>
      </c>
      <c r="O15" s="53" t="s">
        <v>140</v>
      </c>
      <c r="P15" s="46"/>
      <c r="Q15" s="46" t="s">
        <v>141</v>
      </c>
      <c r="R15" s="46" t="s">
        <v>142</v>
      </c>
      <c r="S15" s="46"/>
      <c r="T15" s="46" t="s">
        <v>143</v>
      </c>
      <c r="U15" s="46">
        <v>104021</v>
      </c>
      <c r="V15" s="46" t="s">
        <v>144</v>
      </c>
      <c r="W15" s="93" t="s">
        <v>145</v>
      </c>
      <c r="X15" s="46" t="s">
        <v>146</v>
      </c>
      <c r="Y15" s="52" t="s">
        <v>147</v>
      </c>
    </row>
    <row r="16" spans="1:25" ht="76.5">
      <c r="A16" s="49">
        <v>4</v>
      </c>
      <c r="B16" s="50" t="s">
        <v>155</v>
      </c>
      <c r="C16" s="50" t="s">
        <v>156</v>
      </c>
      <c r="D16" s="50" t="s">
        <v>149</v>
      </c>
      <c r="E16" s="50" t="s">
        <v>157</v>
      </c>
      <c r="F16" s="50" t="s">
        <v>137</v>
      </c>
      <c r="G16" s="50" t="s">
        <v>150</v>
      </c>
      <c r="H16" s="51">
        <v>660000</v>
      </c>
      <c r="I16" s="50" t="s">
        <v>151</v>
      </c>
      <c r="J16" s="51">
        <v>33950</v>
      </c>
      <c r="K16" s="53" t="s">
        <v>140</v>
      </c>
      <c r="L16" s="51">
        <f>185449.69+113000.6</f>
        <v>298450.29000000004</v>
      </c>
      <c r="M16" s="53" t="s">
        <v>140</v>
      </c>
      <c r="N16" s="51">
        <v>113000.6</v>
      </c>
      <c r="O16" s="53" t="s">
        <v>140</v>
      </c>
      <c r="P16" s="46"/>
      <c r="Q16" s="46" t="s">
        <v>141</v>
      </c>
      <c r="R16" s="46" t="s">
        <v>142</v>
      </c>
      <c r="S16" s="46"/>
      <c r="T16" s="46" t="s">
        <v>143</v>
      </c>
      <c r="U16" s="46">
        <v>104021</v>
      </c>
      <c r="V16" s="46" t="s">
        <v>144</v>
      </c>
      <c r="W16" s="93" t="s">
        <v>145</v>
      </c>
      <c r="X16" s="46" t="s">
        <v>146</v>
      </c>
      <c r="Y16" s="52" t="s">
        <v>147</v>
      </c>
    </row>
    <row r="17" spans="1:25" s="94" customFormat="1" ht="63.75">
      <c r="A17" s="45">
        <v>5</v>
      </c>
      <c r="B17" s="50" t="s">
        <v>158</v>
      </c>
      <c r="C17" s="50" t="s">
        <v>159</v>
      </c>
      <c r="D17" s="46" t="s">
        <v>160</v>
      </c>
      <c r="E17" s="50" t="s">
        <v>161</v>
      </c>
      <c r="F17" s="50" t="s">
        <v>137</v>
      </c>
      <c r="G17" s="50" t="s">
        <v>150</v>
      </c>
      <c r="H17" s="51">
        <v>4134600</v>
      </c>
      <c r="I17" s="50" t="s">
        <v>162</v>
      </c>
      <c r="J17" s="51">
        <v>23768</v>
      </c>
      <c r="K17" s="95" t="s">
        <v>162</v>
      </c>
      <c r="L17" s="51">
        <f>78116.5+23162.5</f>
        <v>101279</v>
      </c>
      <c r="M17" s="95" t="s">
        <v>162</v>
      </c>
      <c r="N17" s="51">
        <v>0</v>
      </c>
      <c r="O17" s="95" t="s">
        <v>162</v>
      </c>
      <c r="P17" s="96"/>
      <c r="Q17" s="46" t="s">
        <v>163</v>
      </c>
      <c r="R17" s="46" t="s">
        <v>164</v>
      </c>
      <c r="S17" s="46"/>
      <c r="T17" s="46" t="s">
        <v>165</v>
      </c>
      <c r="U17" s="46" t="s">
        <v>166</v>
      </c>
      <c r="V17" s="46" t="s">
        <v>144</v>
      </c>
      <c r="W17" s="46"/>
      <c r="X17" s="46" t="s">
        <v>163</v>
      </c>
      <c r="Y17" s="52" t="s">
        <v>167</v>
      </c>
    </row>
    <row r="18" spans="1:25" s="94" customFormat="1" ht="63.75">
      <c r="A18" s="49">
        <v>6</v>
      </c>
      <c r="B18" s="50" t="s">
        <v>158</v>
      </c>
      <c r="C18" s="50" t="s">
        <v>159</v>
      </c>
      <c r="D18" s="46" t="s">
        <v>160</v>
      </c>
      <c r="E18" s="50" t="s">
        <v>168</v>
      </c>
      <c r="F18" s="50" t="s">
        <v>137</v>
      </c>
      <c r="G18" s="50" t="s">
        <v>150</v>
      </c>
      <c r="H18" s="51">
        <v>4134600</v>
      </c>
      <c r="I18" s="50" t="s">
        <v>162</v>
      </c>
      <c r="J18" s="51">
        <v>187767.2</v>
      </c>
      <c r="K18" s="95" t="s">
        <v>162</v>
      </c>
      <c r="L18" s="51">
        <f>1238538.1+N18</f>
        <v>1607766.5</v>
      </c>
      <c r="M18" s="95" t="s">
        <v>162</v>
      </c>
      <c r="N18" s="51">
        <v>369228.4</v>
      </c>
      <c r="O18" s="95" t="s">
        <v>162</v>
      </c>
      <c r="P18" s="96"/>
      <c r="Q18" s="46" t="s">
        <v>163</v>
      </c>
      <c r="R18" s="46" t="s">
        <v>164</v>
      </c>
      <c r="S18" s="46"/>
      <c r="T18" s="46" t="s">
        <v>165</v>
      </c>
      <c r="U18" s="46" t="s">
        <v>166</v>
      </c>
      <c r="V18" s="46" t="s">
        <v>144</v>
      </c>
      <c r="W18" s="46"/>
      <c r="X18" s="46" t="s">
        <v>163</v>
      </c>
      <c r="Y18" s="52" t="s">
        <v>167</v>
      </c>
    </row>
    <row r="19" spans="1:42" s="46" customFormat="1" ht="63.75">
      <c r="A19" s="49">
        <v>7</v>
      </c>
      <c r="B19" s="50">
        <v>2000001401</v>
      </c>
      <c r="C19" s="46" t="s">
        <v>169</v>
      </c>
      <c r="D19" s="46" t="s">
        <v>170</v>
      </c>
      <c r="E19" s="46" t="s">
        <v>38</v>
      </c>
      <c r="F19" s="50" t="s">
        <v>171</v>
      </c>
      <c r="G19" s="50" t="s">
        <v>172</v>
      </c>
      <c r="H19" s="51">
        <v>3937500</v>
      </c>
      <c r="I19" s="50" t="s">
        <v>162</v>
      </c>
      <c r="J19" s="51">
        <v>59420</v>
      </c>
      <c r="K19" s="95" t="s">
        <v>162</v>
      </c>
      <c r="L19" s="51">
        <v>186922.9</v>
      </c>
      <c r="M19" s="95" t="s">
        <v>162</v>
      </c>
      <c r="N19" s="51">
        <v>0</v>
      </c>
      <c r="O19" s="95" t="s">
        <v>162</v>
      </c>
      <c r="Q19" s="46" t="s">
        <v>163</v>
      </c>
      <c r="R19" s="46" t="s">
        <v>164</v>
      </c>
      <c r="T19" s="46" t="s">
        <v>165</v>
      </c>
      <c r="U19" s="46" t="s">
        <v>166</v>
      </c>
      <c r="V19" s="46" t="s">
        <v>144</v>
      </c>
      <c r="W19" s="93"/>
      <c r="X19" s="46" t="s">
        <v>163</v>
      </c>
      <c r="Y19" s="55" t="s">
        <v>167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1:25" ht="76.5">
      <c r="A20" s="45">
        <v>8</v>
      </c>
      <c r="B20" s="50">
        <v>2000000780</v>
      </c>
      <c r="C20" s="46" t="s">
        <v>173</v>
      </c>
      <c r="D20" s="46" t="s">
        <v>170</v>
      </c>
      <c r="E20" s="46" t="s">
        <v>39</v>
      </c>
      <c r="F20" s="50" t="s">
        <v>171</v>
      </c>
      <c r="G20" s="50" t="s">
        <v>172</v>
      </c>
      <c r="H20" s="51">
        <v>231000</v>
      </c>
      <c r="I20" s="50" t="s">
        <v>162</v>
      </c>
      <c r="J20" s="51">
        <v>11884</v>
      </c>
      <c r="K20" s="95" t="s">
        <v>162</v>
      </c>
      <c r="L20" s="51">
        <v>970002</v>
      </c>
      <c r="M20" s="95" t="s">
        <v>162</v>
      </c>
      <c r="N20" s="51">
        <v>0</v>
      </c>
      <c r="O20" s="95" t="s">
        <v>162</v>
      </c>
      <c r="P20" s="96"/>
      <c r="Q20" s="46" t="s">
        <v>163</v>
      </c>
      <c r="R20" s="46" t="s">
        <v>164</v>
      </c>
      <c r="S20" s="46"/>
      <c r="T20" s="46" t="s">
        <v>165</v>
      </c>
      <c r="U20" s="46" t="s">
        <v>166</v>
      </c>
      <c r="V20" s="46" t="s">
        <v>144</v>
      </c>
      <c r="W20" s="46"/>
      <c r="X20" s="46" t="s">
        <v>163</v>
      </c>
      <c r="Y20" s="52" t="s">
        <v>167</v>
      </c>
    </row>
    <row r="21" spans="1:25" ht="51">
      <c r="A21" s="49">
        <v>9</v>
      </c>
      <c r="B21" s="50"/>
      <c r="C21" s="50" t="s">
        <v>174</v>
      </c>
      <c r="D21" s="50" t="s">
        <v>175</v>
      </c>
      <c r="E21" s="50" t="s">
        <v>176</v>
      </c>
      <c r="F21" s="46" t="s">
        <v>137</v>
      </c>
      <c r="G21" s="46" t="s">
        <v>172</v>
      </c>
      <c r="H21" s="53">
        <v>30000</v>
      </c>
      <c r="I21" s="46" t="s">
        <v>177</v>
      </c>
      <c r="J21" s="51">
        <v>292821.7</v>
      </c>
      <c r="K21" s="46" t="s">
        <v>177</v>
      </c>
      <c r="L21" s="56">
        <v>3441145.7</v>
      </c>
      <c r="M21" s="46" t="s">
        <v>177</v>
      </c>
      <c r="N21" s="51">
        <v>0</v>
      </c>
      <c r="O21" s="46" t="s">
        <v>177</v>
      </c>
      <c r="P21" s="46"/>
      <c r="Q21" s="50" t="s">
        <v>178</v>
      </c>
      <c r="R21" s="50" t="s">
        <v>179</v>
      </c>
      <c r="S21" s="50"/>
      <c r="T21" s="50" t="s">
        <v>178</v>
      </c>
      <c r="U21" s="50">
        <v>104009</v>
      </c>
      <c r="V21" s="46" t="s">
        <v>144</v>
      </c>
      <c r="W21" s="50"/>
      <c r="X21" s="50"/>
      <c r="Y21" s="55"/>
    </row>
    <row r="22" spans="1:25" ht="51">
      <c r="A22" s="49">
        <v>10</v>
      </c>
      <c r="B22" s="50" t="s">
        <v>180</v>
      </c>
      <c r="C22" s="50" t="s">
        <v>181</v>
      </c>
      <c r="D22" s="50" t="s">
        <v>149</v>
      </c>
      <c r="E22" s="50" t="s">
        <v>182</v>
      </c>
      <c r="F22" s="46" t="s">
        <v>137</v>
      </c>
      <c r="G22" s="46" t="s">
        <v>172</v>
      </c>
      <c r="H22" s="53">
        <v>8550000</v>
      </c>
      <c r="I22" s="46" t="s">
        <v>183</v>
      </c>
      <c r="J22" s="51">
        <v>494184.2</v>
      </c>
      <c r="K22" s="46" t="s">
        <v>183</v>
      </c>
      <c r="L22" s="56">
        <v>3186232.7</v>
      </c>
      <c r="M22" s="46" t="s">
        <v>183</v>
      </c>
      <c r="N22" s="51">
        <v>0</v>
      </c>
      <c r="O22" s="46" t="s">
        <v>183</v>
      </c>
      <c r="P22" s="46"/>
      <c r="Q22" s="50" t="s">
        <v>178</v>
      </c>
      <c r="R22" s="50" t="s">
        <v>179</v>
      </c>
      <c r="S22" s="50"/>
      <c r="T22" s="50" t="s">
        <v>178</v>
      </c>
      <c r="U22" s="50">
        <v>104009</v>
      </c>
      <c r="V22" s="46" t="s">
        <v>144</v>
      </c>
      <c r="W22" s="50"/>
      <c r="X22" s="50"/>
      <c r="Y22" s="55" t="s">
        <v>167</v>
      </c>
    </row>
    <row r="23" spans="1:25" ht="63.75">
      <c r="A23" s="45">
        <v>11</v>
      </c>
      <c r="B23" s="50" t="s">
        <v>184</v>
      </c>
      <c r="C23" s="50" t="s">
        <v>185</v>
      </c>
      <c r="D23" s="50" t="s">
        <v>149</v>
      </c>
      <c r="E23" s="50" t="s">
        <v>186</v>
      </c>
      <c r="F23" s="46" t="s">
        <v>137</v>
      </c>
      <c r="G23" s="46" t="s">
        <v>172</v>
      </c>
      <c r="H23" s="53">
        <v>2000000</v>
      </c>
      <c r="I23" s="46" t="s">
        <v>183</v>
      </c>
      <c r="J23" s="51">
        <v>98470.8</v>
      </c>
      <c r="K23" s="46" t="s">
        <v>183</v>
      </c>
      <c r="L23" s="56">
        <f>551444.7+136019.35</f>
        <v>687464.0499999999</v>
      </c>
      <c r="M23" s="46" t="s">
        <v>183</v>
      </c>
      <c r="N23" s="51">
        <v>136019.38</v>
      </c>
      <c r="O23" s="46" t="s">
        <v>183</v>
      </c>
      <c r="P23" s="46"/>
      <c r="Q23" s="50" t="s">
        <v>178</v>
      </c>
      <c r="R23" s="50" t="s">
        <v>179</v>
      </c>
      <c r="S23" s="50"/>
      <c r="T23" s="50" t="s">
        <v>178</v>
      </c>
      <c r="U23" s="50">
        <v>104009</v>
      </c>
      <c r="V23" s="46" t="s">
        <v>144</v>
      </c>
      <c r="W23" s="50"/>
      <c r="X23" s="50"/>
      <c r="Y23" s="55" t="s">
        <v>167</v>
      </c>
    </row>
    <row r="24" spans="1:25" s="94" customFormat="1" ht="76.5">
      <c r="A24" s="49">
        <v>12</v>
      </c>
      <c r="B24" s="50">
        <v>92061760</v>
      </c>
      <c r="C24" s="50" t="s">
        <v>187</v>
      </c>
      <c r="D24" s="50" t="s">
        <v>188</v>
      </c>
      <c r="E24" s="50" t="s">
        <v>189</v>
      </c>
      <c r="F24" s="50" t="s">
        <v>137</v>
      </c>
      <c r="G24" s="50" t="s">
        <v>150</v>
      </c>
      <c r="H24" s="51">
        <v>10000000</v>
      </c>
      <c r="I24" s="46" t="s">
        <v>190</v>
      </c>
      <c r="J24" s="51">
        <v>0</v>
      </c>
      <c r="K24" s="46" t="s">
        <v>190</v>
      </c>
      <c r="L24" s="97">
        <v>234144.8</v>
      </c>
      <c r="M24" s="46" t="s">
        <v>190</v>
      </c>
      <c r="N24" s="53">
        <v>234903.4</v>
      </c>
      <c r="O24" s="46" t="s">
        <v>190</v>
      </c>
      <c r="P24" s="50"/>
      <c r="Q24" s="46" t="s">
        <v>190</v>
      </c>
      <c r="R24" s="46" t="s">
        <v>191</v>
      </c>
      <c r="S24" s="46"/>
      <c r="T24" s="46" t="s">
        <v>192</v>
      </c>
      <c r="U24" s="50">
        <v>104009</v>
      </c>
      <c r="V24" s="46" t="s">
        <v>144</v>
      </c>
      <c r="W24" s="46"/>
      <c r="X24" s="46"/>
      <c r="Y24" s="55" t="s">
        <v>167</v>
      </c>
    </row>
    <row r="25" spans="1:25" ht="102">
      <c r="A25" s="49">
        <v>13</v>
      </c>
      <c r="B25" s="46" t="s">
        <v>193</v>
      </c>
      <c r="C25" s="50" t="s">
        <v>194</v>
      </c>
      <c r="D25" s="46" t="s">
        <v>195</v>
      </c>
      <c r="E25" s="46" t="s">
        <v>196</v>
      </c>
      <c r="F25" s="46" t="s">
        <v>137</v>
      </c>
      <c r="G25" s="46" t="s">
        <v>172</v>
      </c>
      <c r="H25" s="53">
        <v>6000000</v>
      </c>
      <c r="I25" s="46" t="s">
        <v>197</v>
      </c>
      <c r="J25" s="51">
        <v>189777</v>
      </c>
      <c r="K25" s="46" t="s">
        <v>197</v>
      </c>
      <c r="L25" s="56">
        <v>0</v>
      </c>
      <c r="M25" s="46" t="s">
        <v>197</v>
      </c>
      <c r="N25" s="51">
        <v>0</v>
      </c>
      <c r="O25" s="46" t="s">
        <v>197</v>
      </c>
      <c r="P25" s="46"/>
      <c r="Q25" s="46" t="s">
        <v>198</v>
      </c>
      <c r="R25" s="46" t="s">
        <v>199</v>
      </c>
      <c r="S25" s="46">
        <v>13</v>
      </c>
      <c r="T25" s="46" t="s">
        <v>200</v>
      </c>
      <c r="U25" s="46" t="s">
        <v>201</v>
      </c>
      <c r="V25" s="46" t="s">
        <v>202</v>
      </c>
      <c r="W25" s="46" t="s">
        <v>203</v>
      </c>
      <c r="X25" s="46" t="s">
        <v>198</v>
      </c>
      <c r="Y25" s="52" t="s">
        <v>167</v>
      </c>
    </row>
    <row r="26" spans="1:25" ht="102">
      <c r="A26" s="45">
        <v>14</v>
      </c>
      <c r="B26" s="46"/>
      <c r="C26" s="50" t="s">
        <v>204</v>
      </c>
      <c r="D26" s="46" t="s">
        <v>205</v>
      </c>
      <c r="E26" s="46" t="s">
        <v>206</v>
      </c>
      <c r="F26" s="46" t="s">
        <v>137</v>
      </c>
      <c r="G26" s="46" t="s">
        <v>172</v>
      </c>
      <c r="H26" s="53">
        <v>70000</v>
      </c>
      <c r="I26" s="46" t="s">
        <v>197</v>
      </c>
      <c r="J26" s="51">
        <v>19287</v>
      </c>
      <c r="K26" s="46" t="s">
        <v>197</v>
      </c>
      <c r="L26" s="56">
        <v>9018.3</v>
      </c>
      <c r="M26" s="46" t="s">
        <v>197</v>
      </c>
      <c r="N26" s="51">
        <v>0</v>
      </c>
      <c r="O26" s="46" t="s">
        <v>197</v>
      </c>
      <c r="P26" s="46"/>
      <c r="Q26" s="46" t="s">
        <v>198</v>
      </c>
      <c r="R26" s="46" t="s">
        <v>199</v>
      </c>
      <c r="S26" s="46">
        <v>13</v>
      </c>
      <c r="T26" s="46" t="s">
        <v>200</v>
      </c>
      <c r="U26" s="46" t="s">
        <v>201</v>
      </c>
      <c r="V26" s="46" t="s">
        <v>202</v>
      </c>
      <c r="W26" s="46" t="s">
        <v>203</v>
      </c>
      <c r="X26" s="46" t="s">
        <v>198</v>
      </c>
      <c r="Y26" s="52" t="s">
        <v>167</v>
      </c>
    </row>
    <row r="27" spans="1:25" s="58" customFormat="1" ht="89.25">
      <c r="A27" s="49">
        <v>15</v>
      </c>
      <c r="B27" s="50"/>
      <c r="C27" s="50" t="s">
        <v>207</v>
      </c>
      <c r="D27" s="50" t="s">
        <v>208</v>
      </c>
      <c r="E27" s="50" t="s">
        <v>45</v>
      </c>
      <c r="F27" s="50" t="s">
        <v>137</v>
      </c>
      <c r="G27" s="50" t="s">
        <v>172</v>
      </c>
      <c r="H27" s="51">
        <v>5000</v>
      </c>
      <c r="I27" s="50" t="s">
        <v>209</v>
      </c>
      <c r="J27" s="51">
        <v>364976.3</v>
      </c>
      <c r="K27" s="92" t="s">
        <v>210</v>
      </c>
      <c r="L27" s="57">
        <v>0</v>
      </c>
      <c r="M27" s="92" t="s">
        <v>211</v>
      </c>
      <c r="N27" s="51">
        <v>0</v>
      </c>
      <c r="O27" s="92" t="s">
        <v>211</v>
      </c>
      <c r="P27" s="50"/>
      <c r="Q27" s="50" t="s">
        <v>212</v>
      </c>
      <c r="R27" s="50" t="s">
        <v>213</v>
      </c>
      <c r="S27" s="98"/>
      <c r="T27" s="50" t="s">
        <v>214</v>
      </c>
      <c r="U27" s="50" t="s">
        <v>215</v>
      </c>
      <c r="V27" s="50" t="s">
        <v>202</v>
      </c>
      <c r="W27" s="99"/>
      <c r="X27" s="50" t="s">
        <v>216</v>
      </c>
      <c r="Y27" s="55" t="s">
        <v>217</v>
      </c>
    </row>
    <row r="28" spans="1:25" s="58" customFormat="1" ht="89.25">
      <c r="A28" s="49">
        <v>16</v>
      </c>
      <c r="B28" s="50"/>
      <c r="C28" s="50"/>
      <c r="D28" s="50"/>
      <c r="E28" s="50" t="s">
        <v>46</v>
      </c>
      <c r="F28" s="50" t="s">
        <v>137</v>
      </c>
      <c r="G28" s="50" t="s">
        <v>172</v>
      </c>
      <c r="H28" s="51">
        <v>5000</v>
      </c>
      <c r="I28" s="50" t="s">
        <v>209</v>
      </c>
      <c r="J28" s="51">
        <v>0</v>
      </c>
      <c r="K28" s="92" t="s">
        <v>210</v>
      </c>
      <c r="L28" s="57">
        <v>0</v>
      </c>
      <c r="M28" s="92" t="s">
        <v>211</v>
      </c>
      <c r="N28" s="51">
        <v>0</v>
      </c>
      <c r="O28" s="92" t="s">
        <v>211</v>
      </c>
      <c r="P28" s="50"/>
      <c r="Q28" s="50" t="s">
        <v>212</v>
      </c>
      <c r="R28" s="50" t="s">
        <v>213</v>
      </c>
      <c r="S28" s="98"/>
      <c r="T28" s="50" t="s">
        <v>214</v>
      </c>
      <c r="U28" s="50" t="s">
        <v>215</v>
      </c>
      <c r="V28" s="50" t="s">
        <v>202</v>
      </c>
      <c r="W28" s="99"/>
      <c r="X28" s="50" t="s">
        <v>216</v>
      </c>
      <c r="Y28" s="55" t="s">
        <v>217</v>
      </c>
    </row>
    <row r="29" spans="1:25" ht="51">
      <c r="A29" s="45">
        <v>17</v>
      </c>
      <c r="B29" s="50"/>
      <c r="C29" s="50"/>
      <c r="D29" s="50" t="s">
        <v>218</v>
      </c>
      <c r="E29" s="50" t="s">
        <v>47</v>
      </c>
      <c r="F29" s="46" t="s">
        <v>137</v>
      </c>
      <c r="G29" s="46" t="s">
        <v>172</v>
      </c>
      <c r="H29" s="53">
        <v>2581775.2</v>
      </c>
      <c r="I29" s="46" t="s">
        <v>219</v>
      </c>
      <c r="J29" s="51">
        <v>645443.8</v>
      </c>
      <c r="K29" s="46" t="s">
        <v>219</v>
      </c>
      <c r="L29" s="56">
        <v>0</v>
      </c>
      <c r="M29" s="46" t="s">
        <v>219</v>
      </c>
      <c r="N29" s="51">
        <v>0</v>
      </c>
      <c r="O29" s="46" t="s">
        <v>219</v>
      </c>
      <c r="P29" s="46"/>
      <c r="Q29" s="50" t="s">
        <v>220</v>
      </c>
      <c r="R29" s="50" t="s">
        <v>221</v>
      </c>
      <c r="S29" s="50"/>
      <c r="T29" s="50" t="s">
        <v>222</v>
      </c>
      <c r="U29" s="50">
        <v>104001</v>
      </c>
      <c r="V29" s="46" t="s">
        <v>144</v>
      </c>
      <c r="W29" s="50"/>
      <c r="X29" s="50"/>
      <c r="Y29" s="55"/>
    </row>
    <row r="30" spans="1:25" s="94" customFormat="1" ht="51">
      <c r="A30" s="49">
        <v>18</v>
      </c>
      <c r="B30" s="50" t="s">
        <v>223</v>
      </c>
      <c r="C30" s="50" t="s">
        <v>224</v>
      </c>
      <c r="D30" s="50" t="s">
        <v>149</v>
      </c>
      <c r="E30" s="50" t="s">
        <v>48</v>
      </c>
      <c r="F30" s="50" t="s">
        <v>137</v>
      </c>
      <c r="G30" s="50" t="s">
        <v>150</v>
      </c>
      <c r="H30" s="51">
        <v>2428.3</v>
      </c>
      <c r="I30" s="50" t="s">
        <v>225</v>
      </c>
      <c r="J30" s="51">
        <v>41356.4</v>
      </c>
      <c r="K30" s="50" t="s">
        <v>225</v>
      </c>
      <c r="L30" s="57">
        <v>145248</v>
      </c>
      <c r="M30" s="50" t="s">
        <v>225</v>
      </c>
      <c r="N30" s="51">
        <v>0</v>
      </c>
      <c r="O30" s="50" t="s">
        <v>225</v>
      </c>
      <c r="P30" s="50"/>
      <c r="Q30" s="50" t="s">
        <v>226</v>
      </c>
      <c r="R30" s="50" t="s">
        <v>227</v>
      </c>
      <c r="S30" s="50">
        <v>0</v>
      </c>
      <c r="T30" s="50"/>
      <c r="U30" s="50"/>
      <c r="V30" s="50" t="s">
        <v>202</v>
      </c>
      <c r="W30" s="50" t="s">
        <v>228</v>
      </c>
      <c r="X30" s="50"/>
      <c r="Y30" s="55"/>
    </row>
    <row r="31" spans="1:25" ht="63.75">
      <c r="A31" s="49">
        <v>19</v>
      </c>
      <c r="B31" s="50"/>
      <c r="C31" s="50"/>
      <c r="D31" s="50" t="s">
        <v>229</v>
      </c>
      <c r="E31" s="50" t="s">
        <v>230</v>
      </c>
      <c r="F31" s="46" t="s">
        <v>137</v>
      </c>
      <c r="G31" s="46" t="s">
        <v>172</v>
      </c>
      <c r="H31" s="53">
        <v>25455.3</v>
      </c>
      <c r="I31" s="46" t="s">
        <v>219</v>
      </c>
      <c r="J31" s="51">
        <v>50911.1</v>
      </c>
      <c r="K31" s="46" t="s">
        <v>219</v>
      </c>
      <c r="L31" s="56">
        <v>0</v>
      </c>
      <c r="M31" s="46" t="s">
        <v>219</v>
      </c>
      <c r="N31" s="51">
        <v>0</v>
      </c>
      <c r="O31" s="46" t="s">
        <v>219</v>
      </c>
      <c r="P31" s="46"/>
      <c r="Q31" s="50" t="s">
        <v>220</v>
      </c>
      <c r="R31" s="50" t="s">
        <v>221</v>
      </c>
      <c r="S31" s="50"/>
      <c r="T31" s="50" t="s">
        <v>222</v>
      </c>
      <c r="U31" s="50">
        <v>104001</v>
      </c>
      <c r="V31" s="46" t="s">
        <v>144</v>
      </c>
      <c r="W31" s="50"/>
      <c r="X31" s="50"/>
      <c r="Y31" s="55"/>
    </row>
    <row r="32" spans="1:25" ht="76.5">
      <c r="A32" s="45">
        <v>20</v>
      </c>
      <c r="B32" s="50" t="s">
        <v>231</v>
      </c>
      <c r="C32" s="50" t="s">
        <v>232</v>
      </c>
      <c r="D32" s="50" t="s">
        <v>229</v>
      </c>
      <c r="E32" s="50" t="s">
        <v>50</v>
      </c>
      <c r="F32" s="46" t="s">
        <v>137</v>
      </c>
      <c r="G32" s="46" t="s">
        <v>172</v>
      </c>
      <c r="H32" s="53">
        <v>320160</v>
      </c>
      <c r="I32" s="46" t="s">
        <v>219</v>
      </c>
      <c r="J32" s="51">
        <v>55100.5</v>
      </c>
      <c r="K32" s="46" t="s">
        <v>219</v>
      </c>
      <c r="L32" s="56">
        <v>0</v>
      </c>
      <c r="M32" s="46" t="s">
        <v>219</v>
      </c>
      <c r="N32" s="51">
        <v>0</v>
      </c>
      <c r="O32" s="46" t="s">
        <v>219</v>
      </c>
      <c r="P32" s="46"/>
      <c r="Q32" s="50" t="s">
        <v>220</v>
      </c>
      <c r="R32" s="50" t="s">
        <v>221</v>
      </c>
      <c r="S32" s="50"/>
      <c r="T32" s="50" t="s">
        <v>222</v>
      </c>
      <c r="U32" s="50">
        <v>104001</v>
      </c>
      <c r="V32" s="46" t="s">
        <v>144</v>
      </c>
      <c r="W32" s="50"/>
      <c r="X32" s="50"/>
      <c r="Y32" s="55"/>
    </row>
    <row r="33" spans="1:42" s="59" customFormat="1" ht="76.5">
      <c r="A33" s="49">
        <v>21</v>
      </c>
      <c r="B33" s="50"/>
      <c r="C33" s="46" t="s">
        <v>233</v>
      </c>
      <c r="D33" s="50" t="s">
        <v>234</v>
      </c>
      <c r="E33" s="50" t="s">
        <v>50</v>
      </c>
      <c r="F33" s="50" t="s">
        <v>137</v>
      </c>
      <c r="G33" s="50" t="s">
        <v>172</v>
      </c>
      <c r="H33" s="51">
        <v>448561</v>
      </c>
      <c r="I33" s="46" t="s">
        <v>183</v>
      </c>
      <c r="J33" s="51">
        <v>31162.8</v>
      </c>
      <c r="K33" s="92" t="s">
        <v>211</v>
      </c>
      <c r="L33" s="51">
        <v>0</v>
      </c>
      <c r="M33" s="92" t="s">
        <v>211</v>
      </c>
      <c r="N33" s="51">
        <v>0</v>
      </c>
      <c r="O33" s="92" t="s">
        <v>211</v>
      </c>
      <c r="P33" s="50"/>
      <c r="Q33" s="50" t="s">
        <v>212</v>
      </c>
      <c r="R33" s="50" t="s">
        <v>213</v>
      </c>
      <c r="S33" s="98"/>
      <c r="T33" s="50" t="s">
        <v>214</v>
      </c>
      <c r="U33" s="50"/>
      <c r="V33" s="50" t="s">
        <v>202</v>
      </c>
      <c r="W33" s="99"/>
      <c r="X33" s="50" t="s">
        <v>216</v>
      </c>
      <c r="Y33" s="55" t="s">
        <v>217</v>
      </c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25" ht="76.5">
      <c r="A34" s="49">
        <v>22</v>
      </c>
      <c r="B34" s="46"/>
      <c r="C34" s="46"/>
      <c r="D34" s="46" t="s">
        <v>235</v>
      </c>
      <c r="E34" s="46" t="s">
        <v>236</v>
      </c>
      <c r="F34" s="50" t="s">
        <v>137</v>
      </c>
      <c r="G34" s="46" t="s">
        <v>172</v>
      </c>
      <c r="H34" s="53">
        <v>2603071.3</v>
      </c>
      <c r="I34" s="50" t="s">
        <v>237</v>
      </c>
      <c r="J34" s="51">
        <v>0</v>
      </c>
      <c r="K34" s="50" t="s">
        <v>237</v>
      </c>
      <c r="L34" s="56">
        <v>0</v>
      </c>
      <c r="M34" s="50" t="s">
        <v>237</v>
      </c>
      <c r="N34" s="51">
        <v>0</v>
      </c>
      <c r="O34" s="46"/>
      <c r="P34" s="46"/>
      <c r="Q34" s="50" t="s">
        <v>212</v>
      </c>
      <c r="R34" s="50" t="s">
        <v>213</v>
      </c>
      <c r="S34" s="98"/>
      <c r="T34" s="50" t="s">
        <v>214</v>
      </c>
      <c r="U34" s="50"/>
      <c r="V34" s="50" t="s">
        <v>202</v>
      </c>
      <c r="W34" s="99"/>
      <c r="X34" s="50" t="s">
        <v>216</v>
      </c>
      <c r="Y34" s="55" t="s">
        <v>217</v>
      </c>
    </row>
    <row r="35" spans="1:25" ht="89.25">
      <c r="A35" s="45">
        <v>23</v>
      </c>
      <c r="B35" s="46"/>
      <c r="C35" s="46"/>
      <c r="D35" s="46" t="s">
        <v>235</v>
      </c>
      <c r="E35" s="46" t="s">
        <v>238</v>
      </c>
      <c r="F35" s="50" t="s">
        <v>137</v>
      </c>
      <c r="G35" s="46" t="s">
        <v>172</v>
      </c>
      <c r="H35" s="53">
        <v>0</v>
      </c>
      <c r="I35" s="50" t="s">
        <v>237</v>
      </c>
      <c r="J35" s="51">
        <v>0</v>
      </c>
      <c r="K35" s="50" t="s">
        <v>237</v>
      </c>
      <c r="L35" s="56">
        <v>0</v>
      </c>
      <c r="M35" s="50" t="s">
        <v>237</v>
      </c>
      <c r="N35" s="51">
        <v>0</v>
      </c>
      <c r="O35" s="46"/>
      <c r="P35" s="46"/>
      <c r="Q35" s="50" t="s">
        <v>212</v>
      </c>
      <c r="R35" s="50" t="s">
        <v>213</v>
      </c>
      <c r="S35" s="98"/>
      <c r="T35" s="50" t="s">
        <v>214</v>
      </c>
      <c r="U35" s="50"/>
      <c r="V35" s="50" t="s">
        <v>202</v>
      </c>
      <c r="W35" s="99"/>
      <c r="X35" s="50" t="s">
        <v>216</v>
      </c>
      <c r="Y35" s="55" t="s">
        <v>217</v>
      </c>
    </row>
    <row r="36" spans="1:25" ht="89.25">
      <c r="A36" s="49">
        <v>24</v>
      </c>
      <c r="B36" s="46"/>
      <c r="C36" s="46" t="s">
        <v>239</v>
      </c>
      <c r="D36" s="46" t="s">
        <v>208</v>
      </c>
      <c r="E36" s="46" t="s">
        <v>240</v>
      </c>
      <c r="F36" s="50" t="s">
        <v>137</v>
      </c>
      <c r="G36" s="46" t="s">
        <v>172</v>
      </c>
      <c r="H36" s="53">
        <v>5500</v>
      </c>
      <c r="I36" s="50" t="s">
        <v>237</v>
      </c>
      <c r="J36" s="51">
        <v>386438.4</v>
      </c>
      <c r="K36" s="50" t="s">
        <v>237</v>
      </c>
      <c r="L36" s="56">
        <v>0</v>
      </c>
      <c r="M36" s="50" t="s">
        <v>237</v>
      </c>
      <c r="N36" s="51">
        <v>0</v>
      </c>
      <c r="O36" s="46"/>
      <c r="P36" s="46"/>
      <c r="Q36" s="50" t="s">
        <v>212</v>
      </c>
      <c r="R36" s="50" t="s">
        <v>213</v>
      </c>
      <c r="S36" s="98"/>
      <c r="T36" s="50" t="s">
        <v>214</v>
      </c>
      <c r="U36" s="50"/>
      <c r="V36" s="50" t="s">
        <v>202</v>
      </c>
      <c r="W36" s="99"/>
      <c r="X36" s="50" t="s">
        <v>216</v>
      </c>
      <c r="Y36" s="55" t="s">
        <v>217</v>
      </c>
    </row>
    <row r="37" spans="1:25" ht="89.25">
      <c r="A37" s="49">
        <v>25</v>
      </c>
      <c r="B37" s="50"/>
      <c r="C37" s="50" t="s">
        <v>241</v>
      </c>
      <c r="D37" s="50" t="s">
        <v>234</v>
      </c>
      <c r="E37" s="50" t="s">
        <v>242</v>
      </c>
      <c r="F37" s="46" t="s">
        <v>137</v>
      </c>
      <c r="G37" s="46" t="s">
        <v>172</v>
      </c>
      <c r="H37" s="53">
        <v>500</v>
      </c>
      <c r="I37" s="46" t="s">
        <v>183</v>
      </c>
      <c r="J37" s="51">
        <v>72273.7</v>
      </c>
      <c r="K37" s="46" t="s">
        <v>183</v>
      </c>
      <c r="L37" s="56">
        <v>0</v>
      </c>
      <c r="M37" s="46" t="s">
        <v>183</v>
      </c>
      <c r="N37" s="51">
        <v>0</v>
      </c>
      <c r="O37" s="46" t="s">
        <v>183</v>
      </c>
      <c r="P37" s="46"/>
      <c r="Q37" s="50" t="s">
        <v>212</v>
      </c>
      <c r="R37" s="50" t="s">
        <v>213</v>
      </c>
      <c r="S37" s="98"/>
      <c r="T37" s="50" t="s">
        <v>214</v>
      </c>
      <c r="U37" s="50" t="s">
        <v>243</v>
      </c>
      <c r="V37" s="50" t="s">
        <v>202</v>
      </c>
      <c r="W37" s="99"/>
      <c r="X37" s="50" t="s">
        <v>216</v>
      </c>
      <c r="Y37" s="55" t="s">
        <v>217</v>
      </c>
    </row>
    <row r="38" spans="1:25" ht="89.25">
      <c r="A38" s="45">
        <v>26</v>
      </c>
      <c r="B38" s="46" t="s">
        <v>244</v>
      </c>
      <c r="C38" s="46" t="s">
        <v>245</v>
      </c>
      <c r="D38" s="46" t="s">
        <v>235</v>
      </c>
      <c r="E38" s="46" t="s">
        <v>66</v>
      </c>
      <c r="F38" s="50" t="s">
        <v>137</v>
      </c>
      <c r="G38" s="46" t="s">
        <v>172</v>
      </c>
      <c r="H38" s="51">
        <v>12000000</v>
      </c>
      <c r="I38" s="50" t="s">
        <v>237</v>
      </c>
      <c r="J38" s="51">
        <v>658791.9</v>
      </c>
      <c r="K38" s="50" t="s">
        <v>237</v>
      </c>
      <c r="L38" s="56">
        <v>0</v>
      </c>
      <c r="M38" s="50" t="s">
        <v>237</v>
      </c>
      <c r="N38" s="51">
        <v>0</v>
      </c>
      <c r="O38" s="46"/>
      <c r="P38" s="46"/>
      <c r="Q38" s="50" t="s">
        <v>246</v>
      </c>
      <c r="R38" s="50" t="s">
        <v>247</v>
      </c>
      <c r="S38" s="50">
        <v>105010</v>
      </c>
      <c r="T38" s="50" t="s">
        <v>214</v>
      </c>
      <c r="U38" s="50" t="s">
        <v>248</v>
      </c>
      <c r="V38" s="50" t="s">
        <v>202</v>
      </c>
      <c r="W38" s="50"/>
      <c r="X38" s="50" t="s">
        <v>249</v>
      </c>
      <c r="Y38" s="55" t="s">
        <v>167</v>
      </c>
    </row>
    <row r="39" spans="1:25" ht="89.25">
      <c r="A39" s="49">
        <v>27</v>
      </c>
      <c r="B39" s="46"/>
      <c r="C39" s="46"/>
      <c r="D39" s="46"/>
      <c r="E39" s="46" t="s">
        <v>67</v>
      </c>
      <c r="F39" s="50" t="s">
        <v>137</v>
      </c>
      <c r="G39" s="46" t="s">
        <v>172</v>
      </c>
      <c r="H39" s="51"/>
      <c r="I39" s="46" t="s">
        <v>183</v>
      </c>
      <c r="J39" s="51">
        <v>0</v>
      </c>
      <c r="K39" s="46" t="s">
        <v>183</v>
      </c>
      <c r="L39" s="56">
        <v>0</v>
      </c>
      <c r="M39" s="46" t="s">
        <v>183</v>
      </c>
      <c r="N39" s="51">
        <v>0</v>
      </c>
      <c r="O39" s="46" t="s">
        <v>183</v>
      </c>
      <c r="P39" s="46"/>
      <c r="Q39" s="50" t="s">
        <v>212</v>
      </c>
      <c r="R39" s="50" t="s">
        <v>213</v>
      </c>
      <c r="S39" s="98"/>
      <c r="T39" s="50" t="s">
        <v>214</v>
      </c>
      <c r="U39" s="50" t="s">
        <v>243</v>
      </c>
      <c r="V39" s="50" t="s">
        <v>202</v>
      </c>
      <c r="W39" s="99"/>
      <c r="X39" s="50" t="s">
        <v>216</v>
      </c>
      <c r="Y39" s="55" t="s">
        <v>217</v>
      </c>
    </row>
    <row r="40" spans="1:25" ht="76.5">
      <c r="A40" s="49"/>
      <c r="B40" s="46"/>
      <c r="C40" s="46" t="s">
        <v>250</v>
      </c>
      <c r="D40" s="46" t="s">
        <v>251</v>
      </c>
      <c r="E40" s="46" t="s">
        <v>68</v>
      </c>
      <c r="F40" s="50" t="s">
        <v>137</v>
      </c>
      <c r="G40" s="46" t="s">
        <v>172</v>
      </c>
      <c r="H40" s="51">
        <v>574700</v>
      </c>
      <c r="I40" s="46" t="s">
        <v>151</v>
      </c>
      <c r="J40" s="51">
        <v>0</v>
      </c>
      <c r="K40" s="46" t="s">
        <v>151</v>
      </c>
      <c r="L40" s="56">
        <v>0</v>
      </c>
      <c r="M40" s="46" t="s">
        <v>151</v>
      </c>
      <c r="N40" s="51"/>
      <c r="O40" s="46" t="s">
        <v>151</v>
      </c>
      <c r="P40" s="46"/>
      <c r="Q40" s="50" t="s">
        <v>212</v>
      </c>
      <c r="R40" s="50" t="s">
        <v>213</v>
      </c>
      <c r="S40" s="98"/>
      <c r="T40" s="50" t="s">
        <v>214</v>
      </c>
      <c r="U40" s="50" t="s">
        <v>243</v>
      </c>
      <c r="V40" s="50" t="s">
        <v>202</v>
      </c>
      <c r="W40" s="99"/>
      <c r="X40" s="50" t="s">
        <v>216</v>
      </c>
      <c r="Y40" s="55" t="s">
        <v>217</v>
      </c>
    </row>
    <row r="41" spans="1:42" s="46" customFormat="1" ht="76.5">
      <c r="A41" s="45">
        <v>29</v>
      </c>
      <c r="B41" s="46" t="s">
        <v>252</v>
      </c>
      <c r="C41" s="46" t="s">
        <v>253</v>
      </c>
      <c r="D41" s="46" t="s">
        <v>254</v>
      </c>
      <c r="E41" s="46" t="s">
        <v>69</v>
      </c>
      <c r="F41" s="46" t="s">
        <v>137</v>
      </c>
      <c r="G41" s="46" t="s">
        <v>150</v>
      </c>
      <c r="H41" s="53">
        <v>27808.6</v>
      </c>
      <c r="I41" s="46" t="s">
        <v>151</v>
      </c>
      <c r="J41" s="51">
        <v>0</v>
      </c>
      <c r="K41" s="46" t="s">
        <v>151</v>
      </c>
      <c r="L41" s="56">
        <v>27940.61</v>
      </c>
      <c r="M41" s="46" t="s">
        <v>151</v>
      </c>
      <c r="N41" s="51">
        <v>0</v>
      </c>
      <c r="O41" s="46" t="s">
        <v>151</v>
      </c>
      <c r="P41" s="46" t="s">
        <v>255</v>
      </c>
      <c r="Q41" s="46" t="s">
        <v>256</v>
      </c>
      <c r="R41" s="46" t="s">
        <v>257</v>
      </c>
      <c r="S41" s="46" t="s">
        <v>258</v>
      </c>
      <c r="U41" s="46">
        <v>104002</v>
      </c>
      <c r="V41" s="46" t="s">
        <v>144</v>
      </c>
      <c r="W41" s="93"/>
      <c r="X41" s="46" t="s">
        <v>259</v>
      </c>
      <c r="Y41" s="52" t="s">
        <v>167</v>
      </c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</row>
    <row r="42" spans="1:25" ht="76.5">
      <c r="A42" s="49">
        <v>30</v>
      </c>
      <c r="B42" s="46" t="s">
        <v>260</v>
      </c>
      <c r="C42" s="46" t="s">
        <v>261</v>
      </c>
      <c r="D42" s="46" t="s">
        <v>262</v>
      </c>
      <c r="E42" s="46" t="s">
        <v>263</v>
      </c>
      <c r="F42" s="46" t="s">
        <v>137</v>
      </c>
      <c r="G42" s="46" t="s">
        <v>150</v>
      </c>
      <c r="H42" s="53">
        <v>738000</v>
      </c>
      <c r="I42" s="46" t="s">
        <v>151</v>
      </c>
      <c r="J42" s="51">
        <v>49698.9</v>
      </c>
      <c r="K42" s="46" t="s">
        <v>151</v>
      </c>
      <c r="L42" s="56">
        <v>394218.9</v>
      </c>
      <c r="M42" s="46" t="s">
        <v>151</v>
      </c>
      <c r="N42" s="51">
        <v>67011.8</v>
      </c>
      <c r="O42" s="46" t="s">
        <v>151</v>
      </c>
      <c r="P42" s="46" t="s">
        <v>255</v>
      </c>
      <c r="Q42" s="46" t="s">
        <v>256</v>
      </c>
      <c r="R42" s="46" t="s">
        <v>257</v>
      </c>
      <c r="S42" s="46" t="s">
        <v>258</v>
      </c>
      <c r="T42" s="46"/>
      <c r="U42" s="46">
        <v>104002</v>
      </c>
      <c r="V42" s="46" t="s">
        <v>144</v>
      </c>
      <c r="W42" s="93"/>
      <c r="X42" s="46" t="s">
        <v>259</v>
      </c>
      <c r="Y42" s="52" t="s">
        <v>167</v>
      </c>
    </row>
    <row r="43" spans="1:25" s="94" customFormat="1" ht="76.5">
      <c r="A43" s="49">
        <v>31</v>
      </c>
      <c r="B43" s="50"/>
      <c r="C43" s="46" t="s">
        <v>264</v>
      </c>
      <c r="D43" s="50" t="s">
        <v>265</v>
      </c>
      <c r="E43" s="50" t="s">
        <v>266</v>
      </c>
      <c r="F43" s="46" t="s">
        <v>137</v>
      </c>
      <c r="G43" s="46" t="s">
        <v>150</v>
      </c>
      <c r="H43" s="51">
        <v>9243338</v>
      </c>
      <c r="I43" s="46" t="s">
        <v>151</v>
      </c>
      <c r="J43" s="51">
        <v>430017.5</v>
      </c>
      <c r="K43" s="46" t="s">
        <v>151</v>
      </c>
      <c r="L43" s="57">
        <v>1326004</v>
      </c>
      <c r="M43" s="46" t="s">
        <v>151</v>
      </c>
      <c r="N43" s="51">
        <v>0</v>
      </c>
      <c r="O43" s="46" t="s">
        <v>151</v>
      </c>
      <c r="P43" s="50"/>
      <c r="Q43" s="50" t="s">
        <v>267</v>
      </c>
      <c r="R43" s="50" t="s">
        <v>268</v>
      </c>
      <c r="S43" s="50">
        <v>5010306</v>
      </c>
      <c r="T43" s="50" t="s">
        <v>165</v>
      </c>
      <c r="U43" s="50">
        <v>104002</v>
      </c>
      <c r="V43" s="50" t="s">
        <v>202</v>
      </c>
      <c r="W43" s="50"/>
      <c r="X43" s="50" t="s">
        <v>269</v>
      </c>
      <c r="Y43" s="55" t="s">
        <v>167</v>
      </c>
    </row>
    <row r="44" spans="1:25" s="94" customFormat="1" ht="72.75" customHeight="1">
      <c r="A44" s="45">
        <v>32</v>
      </c>
      <c r="B44" s="50"/>
      <c r="C44" s="46" t="s">
        <v>270</v>
      </c>
      <c r="D44" s="50" t="s">
        <v>265</v>
      </c>
      <c r="E44" s="50" t="s">
        <v>271</v>
      </c>
      <c r="F44" s="46" t="s">
        <v>137</v>
      </c>
      <c r="G44" s="46" t="s">
        <v>150</v>
      </c>
      <c r="H44" s="51">
        <v>3951206</v>
      </c>
      <c r="I44" s="46" t="s">
        <v>151</v>
      </c>
      <c r="J44" s="51">
        <v>182077.6</v>
      </c>
      <c r="K44" s="46" t="s">
        <v>151</v>
      </c>
      <c r="L44" s="57">
        <v>535829.8</v>
      </c>
      <c r="M44" s="46" t="s">
        <v>151</v>
      </c>
      <c r="N44" s="51">
        <v>0</v>
      </c>
      <c r="O44" s="46" t="s">
        <v>151</v>
      </c>
      <c r="P44" s="50"/>
      <c r="Q44" s="50" t="s">
        <v>267</v>
      </c>
      <c r="R44" s="50" t="s">
        <v>268</v>
      </c>
      <c r="S44" s="50">
        <v>5010306</v>
      </c>
      <c r="T44" s="50" t="s">
        <v>165</v>
      </c>
      <c r="U44" s="50">
        <v>104002</v>
      </c>
      <c r="V44" s="50" t="s">
        <v>202</v>
      </c>
      <c r="W44" s="50"/>
      <c r="X44" s="50" t="s">
        <v>269</v>
      </c>
      <c r="Y44" s="55" t="s">
        <v>167</v>
      </c>
    </row>
    <row r="45" spans="1:25" s="94" customFormat="1" ht="63.75">
      <c r="A45" s="49">
        <v>33</v>
      </c>
      <c r="B45" s="50" t="s">
        <v>272</v>
      </c>
      <c r="C45" s="50" t="s">
        <v>273</v>
      </c>
      <c r="D45" s="50" t="s">
        <v>274</v>
      </c>
      <c r="E45" s="50" t="s">
        <v>275</v>
      </c>
      <c r="F45" s="50" t="s">
        <v>137</v>
      </c>
      <c r="G45" s="50" t="s">
        <v>150</v>
      </c>
      <c r="H45" s="51">
        <v>8600</v>
      </c>
      <c r="I45" s="50" t="s">
        <v>276</v>
      </c>
      <c r="J45" s="51">
        <v>494022.3</v>
      </c>
      <c r="K45" s="50" t="s">
        <v>276</v>
      </c>
      <c r="L45" s="100">
        <f>10624.5+28153.9+107785.11+303511.38+280995.44</f>
        <v>731070.3300000001</v>
      </c>
      <c r="M45" s="50" t="s">
        <v>276</v>
      </c>
      <c r="N45" s="51">
        <v>280995.44</v>
      </c>
      <c r="O45" s="50" t="s">
        <v>276</v>
      </c>
      <c r="P45" s="50"/>
      <c r="Q45" s="50" t="s">
        <v>226</v>
      </c>
      <c r="R45" s="50" t="s">
        <v>277</v>
      </c>
      <c r="S45" s="50">
        <v>1</v>
      </c>
      <c r="T45" s="50"/>
      <c r="U45" s="50"/>
      <c r="V45" s="50" t="s">
        <v>202</v>
      </c>
      <c r="W45" s="50" t="s">
        <v>228</v>
      </c>
      <c r="X45" s="50"/>
      <c r="Y45" s="55"/>
    </row>
    <row r="46" spans="1:25" ht="135" customHeight="1">
      <c r="A46" s="49">
        <v>34</v>
      </c>
      <c r="B46" s="50"/>
      <c r="C46" s="46" t="s">
        <v>278</v>
      </c>
      <c r="D46" s="46" t="s">
        <v>279</v>
      </c>
      <c r="E46" s="46" t="s">
        <v>280</v>
      </c>
      <c r="F46" s="46" t="s">
        <v>137</v>
      </c>
      <c r="G46" s="46" t="s">
        <v>150</v>
      </c>
      <c r="H46" s="53">
        <v>26717.2</v>
      </c>
      <c r="I46" s="50" t="s">
        <v>281</v>
      </c>
      <c r="J46" s="51">
        <v>14839.5</v>
      </c>
      <c r="K46" s="50" t="s">
        <v>281</v>
      </c>
      <c r="L46" s="56">
        <v>19840.2</v>
      </c>
      <c r="M46" s="50" t="s">
        <v>281</v>
      </c>
      <c r="N46" s="51">
        <v>0</v>
      </c>
      <c r="O46" s="50" t="s">
        <v>281</v>
      </c>
      <c r="P46" s="46"/>
      <c r="Q46" s="50" t="s">
        <v>282</v>
      </c>
      <c r="R46" s="50" t="s">
        <v>283</v>
      </c>
      <c r="S46" s="50">
        <v>105021</v>
      </c>
      <c r="T46" s="50" t="s">
        <v>282</v>
      </c>
      <c r="U46" s="50">
        <v>105021</v>
      </c>
      <c r="V46" s="50" t="s">
        <v>202</v>
      </c>
      <c r="W46" s="50"/>
      <c r="X46" s="50" t="s">
        <v>282</v>
      </c>
      <c r="Y46" s="55" t="s">
        <v>167</v>
      </c>
    </row>
    <row r="47" spans="1:25" s="94" customFormat="1" ht="63.75">
      <c r="A47" s="45">
        <v>35</v>
      </c>
      <c r="B47" s="50"/>
      <c r="C47" s="50"/>
      <c r="D47" s="50"/>
      <c r="E47" s="50" t="s">
        <v>284</v>
      </c>
      <c r="F47" s="50" t="s">
        <v>137</v>
      </c>
      <c r="G47" s="50" t="s">
        <v>150</v>
      </c>
      <c r="H47" s="51">
        <v>972147.6</v>
      </c>
      <c r="I47" s="50" t="s">
        <v>281</v>
      </c>
      <c r="J47" s="51">
        <v>340251</v>
      </c>
      <c r="K47" s="50" t="s">
        <v>281</v>
      </c>
      <c r="L47" s="97">
        <v>0</v>
      </c>
      <c r="M47" s="50" t="s">
        <v>281</v>
      </c>
      <c r="N47" s="53">
        <v>0</v>
      </c>
      <c r="O47" s="50" t="s">
        <v>281</v>
      </c>
      <c r="P47" s="50"/>
      <c r="Q47" s="46" t="s">
        <v>285</v>
      </c>
      <c r="R47" s="46"/>
      <c r="S47" s="46"/>
      <c r="T47" s="46" t="s">
        <v>285</v>
      </c>
      <c r="U47" s="50">
        <v>105021</v>
      </c>
      <c r="V47" s="50" t="s">
        <v>202</v>
      </c>
      <c r="W47" s="46"/>
      <c r="X47" s="46"/>
      <c r="Y47" s="55" t="s">
        <v>167</v>
      </c>
    </row>
    <row r="48" spans="1:25" ht="89.25">
      <c r="A48" s="49">
        <v>36</v>
      </c>
      <c r="B48" s="46" t="s">
        <v>286</v>
      </c>
      <c r="C48" s="46" t="s">
        <v>287</v>
      </c>
      <c r="D48" s="46" t="s">
        <v>288</v>
      </c>
      <c r="E48" s="46" t="s">
        <v>73</v>
      </c>
      <c r="F48" s="50" t="s">
        <v>137</v>
      </c>
      <c r="G48" s="46" t="s">
        <v>172</v>
      </c>
      <c r="H48" s="51">
        <v>550000000</v>
      </c>
      <c r="I48" s="50" t="s">
        <v>237</v>
      </c>
      <c r="J48" s="51">
        <v>183481.7</v>
      </c>
      <c r="K48" s="50" t="s">
        <v>237</v>
      </c>
      <c r="L48" s="56">
        <f>1560753.96+44342.84+404154.63+388090.28+357116.45</f>
        <v>2754458.16</v>
      </c>
      <c r="M48" s="50" t="s">
        <v>237</v>
      </c>
      <c r="N48" s="51">
        <v>0</v>
      </c>
      <c r="O48" s="46"/>
      <c r="P48" s="46"/>
      <c r="Q48" s="50" t="s">
        <v>246</v>
      </c>
      <c r="R48" s="50" t="s">
        <v>247</v>
      </c>
      <c r="S48" s="50">
        <v>105010</v>
      </c>
      <c r="T48" s="50" t="s">
        <v>214</v>
      </c>
      <c r="U48" s="50" t="s">
        <v>248</v>
      </c>
      <c r="V48" s="50" t="s">
        <v>202</v>
      </c>
      <c r="W48" s="50"/>
      <c r="X48" s="50" t="s">
        <v>249</v>
      </c>
      <c r="Y48" s="55" t="s">
        <v>167</v>
      </c>
    </row>
    <row r="49" spans="1:25" s="58" customFormat="1" ht="76.5">
      <c r="A49" s="49">
        <v>37</v>
      </c>
      <c r="B49" s="50"/>
      <c r="C49" s="50" t="s">
        <v>289</v>
      </c>
      <c r="D49" s="50" t="s">
        <v>290</v>
      </c>
      <c r="E49" s="50" t="s">
        <v>74</v>
      </c>
      <c r="F49" s="50" t="s">
        <v>137</v>
      </c>
      <c r="G49" s="50" t="s">
        <v>172</v>
      </c>
      <c r="H49" s="51">
        <v>1539251.7</v>
      </c>
      <c r="I49" s="50" t="s">
        <v>291</v>
      </c>
      <c r="J49" s="51">
        <v>0</v>
      </c>
      <c r="K49" s="50" t="s">
        <v>291</v>
      </c>
      <c r="L49" s="57">
        <v>780677.1</v>
      </c>
      <c r="M49" s="50" t="s">
        <v>291</v>
      </c>
      <c r="N49" s="51">
        <v>0</v>
      </c>
      <c r="O49" s="50" t="s">
        <v>291</v>
      </c>
      <c r="P49" s="59"/>
      <c r="Q49" s="50" t="s">
        <v>292</v>
      </c>
      <c r="R49" s="50" t="s">
        <v>293</v>
      </c>
      <c r="S49" s="50">
        <v>10061</v>
      </c>
      <c r="T49" s="50" t="s">
        <v>222</v>
      </c>
      <c r="U49" s="50">
        <v>105013</v>
      </c>
      <c r="V49" s="50" t="s">
        <v>294</v>
      </c>
      <c r="W49" s="50">
        <v>90000025025</v>
      </c>
      <c r="X49" s="50" t="s">
        <v>295</v>
      </c>
      <c r="Y49" s="55" t="s">
        <v>167</v>
      </c>
    </row>
    <row r="50" spans="1:25" s="58" customFormat="1" ht="52.5" customHeight="1">
      <c r="A50" s="49">
        <v>38</v>
      </c>
      <c r="B50" s="50" t="s">
        <v>371</v>
      </c>
      <c r="C50" s="50" t="s">
        <v>370</v>
      </c>
      <c r="D50" s="50" t="s">
        <v>229</v>
      </c>
      <c r="E50" s="50" t="s">
        <v>369</v>
      </c>
      <c r="F50" s="50" t="s">
        <v>137</v>
      </c>
      <c r="G50" s="50" t="s">
        <v>172</v>
      </c>
      <c r="H50" s="51">
        <v>599370</v>
      </c>
      <c r="I50" s="50" t="s">
        <v>237</v>
      </c>
      <c r="J50" s="51">
        <v>30700.2</v>
      </c>
      <c r="K50" s="50" t="s">
        <v>237</v>
      </c>
      <c r="L50" s="57">
        <v>312138.52</v>
      </c>
      <c r="M50" s="50" t="s">
        <v>237</v>
      </c>
      <c r="N50" s="51">
        <v>30320.14</v>
      </c>
      <c r="O50" s="50" t="s">
        <v>237</v>
      </c>
      <c r="P50" s="59"/>
      <c r="Q50" s="50" t="s">
        <v>246</v>
      </c>
      <c r="R50" s="50" t="s">
        <v>247</v>
      </c>
      <c r="S50" s="50">
        <v>105010</v>
      </c>
      <c r="T50" s="50" t="s">
        <v>214</v>
      </c>
      <c r="U50" s="50" t="s">
        <v>248</v>
      </c>
      <c r="V50" s="50" t="s">
        <v>202</v>
      </c>
      <c r="W50" s="50"/>
      <c r="X50" s="50" t="s">
        <v>249</v>
      </c>
      <c r="Y50" s="55" t="s">
        <v>167</v>
      </c>
    </row>
    <row r="51" spans="1:25" s="72" customFormat="1" ht="14.25">
      <c r="A51" s="131" t="s">
        <v>296</v>
      </c>
      <c r="B51" s="132"/>
      <c r="C51" s="132"/>
      <c r="D51" s="132"/>
      <c r="E51" s="132"/>
      <c r="F51" s="74"/>
      <c r="G51" s="60"/>
      <c r="H51" s="74"/>
      <c r="I51" s="74"/>
      <c r="J51" s="61">
        <f>SUM(J13:J50)</f>
        <v>5518760.899999999</v>
      </c>
      <c r="K51" s="60"/>
      <c r="L51" s="60">
        <f>SUM(L48:L60)-#REF!-#REF!</f>
        <v>0</v>
      </c>
      <c r="M51" s="60"/>
      <c r="N51" s="60">
        <f>SUM(N13:N50)</f>
        <v>1284640.04</v>
      </c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62"/>
    </row>
    <row r="52" spans="1:25" ht="76.5" hidden="1">
      <c r="A52" s="63">
        <v>4</v>
      </c>
      <c r="B52" s="50" t="s">
        <v>297</v>
      </c>
      <c r="C52" s="50" t="s">
        <v>298</v>
      </c>
      <c r="D52" s="50" t="s">
        <v>299</v>
      </c>
      <c r="E52" s="50" t="s">
        <v>300</v>
      </c>
      <c r="F52" s="50" t="s">
        <v>301</v>
      </c>
      <c r="G52" s="50" t="s">
        <v>302</v>
      </c>
      <c r="H52" s="50">
        <v>708116</v>
      </c>
      <c r="I52" s="50" t="s">
        <v>303</v>
      </c>
      <c r="J52" s="51">
        <v>0</v>
      </c>
      <c r="K52" s="46" t="s">
        <v>303</v>
      </c>
      <c r="L52" s="56">
        <v>708116</v>
      </c>
      <c r="M52" s="46" t="s">
        <v>303</v>
      </c>
      <c r="N52" s="56">
        <v>0</v>
      </c>
      <c r="O52" s="46" t="s">
        <v>303</v>
      </c>
      <c r="P52" s="46" t="s">
        <v>304</v>
      </c>
      <c r="Q52" s="46" t="s">
        <v>305</v>
      </c>
      <c r="R52" s="46" t="s">
        <v>306</v>
      </c>
      <c r="S52" s="46"/>
      <c r="T52" s="46" t="s">
        <v>301</v>
      </c>
      <c r="U52" s="46"/>
      <c r="V52" s="46"/>
      <c r="W52" s="46"/>
      <c r="X52" s="46" t="s">
        <v>307</v>
      </c>
      <c r="Y52" s="52" t="s">
        <v>167</v>
      </c>
    </row>
    <row r="53" spans="1:25" ht="72" customHeight="1">
      <c r="A53" s="45">
        <v>1</v>
      </c>
      <c r="B53" s="50" t="s">
        <v>308</v>
      </c>
      <c r="C53" s="50" t="s">
        <v>309</v>
      </c>
      <c r="D53" s="50" t="s">
        <v>310</v>
      </c>
      <c r="E53" s="50" t="s">
        <v>75</v>
      </c>
      <c r="F53" s="50" t="s">
        <v>311</v>
      </c>
      <c r="G53" s="50" t="s">
        <v>150</v>
      </c>
      <c r="H53" s="51">
        <v>27355</v>
      </c>
      <c r="I53" s="50" t="s">
        <v>312</v>
      </c>
      <c r="J53" s="51">
        <v>10000</v>
      </c>
      <c r="K53" s="46" t="s">
        <v>312</v>
      </c>
      <c r="L53" s="56">
        <v>22916.68</v>
      </c>
      <c r="M53" s="46" t="s">
        <v>312</v>
      </c>
      <c r="N53" s="56">
        <v>22916.68</v>
      </c>
      <c r="O53" s="46"/>
      <c r="P53" s="46" t="s">
        <v>313</v>
      </c>
      <c r="Q53" s="46"/>
      <c r="R53" s="46" t="s">
        <v>314</v>
      </c>
      <c r="S53" s="46" t="s">
        <v>315</v>
      </c>
      <c r="T53" s="46">
        <v>104003</v>
      </c>
      <c r="U53" s="46" t="s">
        <v>316</v>
      </c>
      <c r="V53" s="46" t="s">
        <v>317</v>
      </c>
      <c r="W53" s="46" t="s">
        <v>318</v>
      </c>
      <c r="X53" s="46" t="s">
        <v>32</v>
      </c>
      <c r="Y53" s="52"/>
    </row>
    <row r="54" spans="1:25" ht="67.5" customHeight="1">
      <c r="A54" s="45">
        <v>2</v>
      </c>
      <c r="B54" s="50" t="s">
        <v>319</v>
      </c>
      <c r="C54" s="50" t="s">
        <v>320</v>
      </c>
      <c r="D54" s="50" t="s">
        <v>321</v>
      </c>
      <c r="E54" s="50" t="s">
        <v>76</v>
      </c>
      <c r="F54" s="50" t="s">
        <v>311</v>
      </c>
      <c r="G54" s="50" t="s">
        <v>150</v>
      </c>
      <c r="H54" s="53">
        <v>1651.9</v>
      </c>
      <c r="I54" s="50" t="s">
        <v>322</v>
      </c>
      <c r="J54" s="51">
        <v>0</v>
      </c>
      <c r="K54" s="50" t="s">
        <v>322</v>
      </c>
      <c r="L54" s="56">
        <f>444774.03+1854.32</f>
        <v>446628.35000000003</v>
      </c>
      <c r="M54" s="50" t="s">
        <v>322</v>
      </c>
      <c r="N54" s="51">
        <v>0</v>
      </c>
      <c r="O54" s="46"/>
      <c r="P54" s="46" t="s">
        <v>323</v>
      </c>
      <c r="Q54" s="46" t="s">
        <v>324</v>
      </c>
      <c r="R54" s="46">
        <v>10061</v>
      </c>
      <c r="S54" s="46" t="s">
        <v>325</v>
      </c>
      <c r="T54" s="46">
        <v>105003</v>
      </c>
      <c r="U54" s="46" t="s">
        <v>144</v>
      </c>
      <c r="V54" s="47" t="s">
        <v>326</v>
      </c>
      <c r="W54" s="46" t="s">
        <v>325</v>
      </c>
      <c r="X54" s="46" t="s">
        <v>32</v>
      </c>
      <c r="Y54" s="52"/>
    </row>
    <row r="55" spans="1:25" ht="57" customHeight="1">
      <c r="A55" s="45">
        <v>3</v>
      </c>
      <c r="B55" s="50" t="s">
        <v>319</v>
      </c>
      <c r="C55" s="50" t="s">
        <v>327</v>
      </c>
      <c r="D55" s="50" t="s">
        <v>328</v>
      </c>
      <c r="E55" s="50" t="s">
        <v>77</v>
      </c>
      <c r="F55" s="50" t="s">
        <v>311</v>
      </c>
      <c r="G55" s="50" t="s">
        <v>150</v>
      </c>
      <c r="H55" s="53">
        <v>2500000</v>
      </c>
      <c r="I55" s="50" t="s">
        <v>322</v>
      </c>
      <c r="J55" s="51">
        <v>23768</v>
      </c>
      <c r="K55" s="50" t="s">
        <v>322</v>
      </c>
      <c r="L55" s="56">
        <f>603131+23162.5</f>
        <v>626293.5</v>
      </c>
      <c r="M55" s="50" t="s">
        <v>322</v>
      </c>
      <c r="N55" s="51">
        <v>0</v>
      </c>
      <c r="O55" s="50" t="s">
        <v>322</v>
      </c>
      <c r="P55" s="50"/>
      <c r="Q55" s="50" t="s">
        <v>267</v>
      </c>
      <c r="R55" s="50" t="s">
        <v>268</v>
      </c>
      <c r="S55" s="50">
        <v>5010306</v>
      </c>
      <c r="T55" s="50" t="s">
        <v>165</v>
      </c>
      <c r="U55" s="50">
        <v>104002</v>
      </c>
      <c r="V55" s="50" t="s">
        <v>202</v>
      </c>
      <c r="W55" s="50"/>
      <c r="X55" s="50" t="s">
        <v>269</v>
      </c>
      <c r="Y55" s="55" t="s">
        <v>167</v>
      </c>
    </row>
    <row r="56" spans="1:25" ht="58.5" customHeight="1">
      <c r="A56" s="45">
        <v>4</v>
      </c>
      <c r="B56" s="46" t="s">
        <v>329</v>
      </c>
      <c r="C56" s="46" t="s">
        <v>330</v>
      </c>
      <c r="D56" s="46" t="s">
        <v>328</v>
      </c>
      <c r="E56" s="46" t="s">
        <v>78</v>
      </c>
      <c r="F56" s="46" t="s">
        <v>311</v>
      </c>
      <c r="G56" s="46" t="s">
        <v>150</v>
      </c>
      <c r="H56" s="53">
        <v>366205</v>
      </c>
      <c r="I56" s="46" t="s">
        <v>162</v>
      </c>
      <c r="J56" s="53">
        <v>99111.1</v>
      </c>
      <c r="K56" s="46" t="s">
        <v>162</v>
      </c>
      <c r="L56" s="56">
        <f>102635.1+25380.8</f>
        <v>128015.90000000001</v>
      </c>
      <c r="M56" s="46" t="s">
        <v>162</v>
      </c>
      <c r="N56" s="53">
        <v>25380.8</v>
      </c>
      <c r="O56" s="46" t="s">
        <v>162</v>
      </c>
      <c r="P56" s="46"/>
      <c r="Q56" s="46" t="s">
        <v>165</v>
      </c>
      <c r="R56" s="46" t="s">
        <v>331</v>
      </c>
      <c r="S56" s="46"/>
      <c r="T56" s="46" t="s">
        <v>165</v>
      </c>
      <c r="U56" s="46">
        <v>4090109</v>
      </c>
      <c r="V56" s="46" t="s">
        <v>202</v>
      </c>
      <c r="W56" s="46"/>
      <c r="X56" s="46" t="s">
        <v>165</v>
      </c>
      <c r="Y56" s="52" t="s">
        <v>167</v>
      </c>
    </row>
    <row r="57" spans="1:25" s="94" customFormat="1" ht="62.25" customHeight="1">
      <c r="A57" s="45">
        <v>5</v>
      </c>
      <c r="B57" s="50"/>
      <c r="C57" s="101" t="s">
        <v>332</v>
      </c>
      <c r="D57" s="101" t="s">
        <v>333</v>
      </c>
      <c r="E57" s="50" t="s">
        <v>48</v>
      </c>
      <c r="F57" s="46" t="s">
        <v>311</v>
      </c>
      <c r="G57" s="50" t="s">
        <v>150</v>
      </c>
      <c r="H57" s="51">
        <v>293520.5</v>
      </c>
      <c r="I57" s="50" t="s">
        <v>334</v>
      </c>
      <c r="J57" s="51">
        <v>60116.1</v>
      </c>
      <c r="K57" s="50" t="s">
        <v>334</v>
      </c>
      <c r="L57" s="57">
        <v>0</v>
      </c>
      <c r="M57" s="50" t="s">
        <v>334</v>
      </c>
      <c r="N57" s="51">
        <v>0</v>
      </c>
      <c r="O57" s="46" t="s">
        <v>162</v>
      </c>
      <c r="P57" s="50" t="s">
        <v>335</v>
      </c>
      <c r="Q57" s="50" t="s">
        <v>226</v>
      </c>
      <c r="R57" s="50" t="s">
        <v>227</v>
      </c>
      <c r="S57" s="50">
        <v>0</v>
      </c>
      <c r="T57" s="50" t="s">
        <v>335</v>
      </c>
      <c r="U57" s="50"/>
      <c r="V57" s="50" t="s">
        <v>202</v>
      </c>
      <c r="W57" s="50" t="s">
        <v>228</v>
      </c>
      <c r="X57" s="50"/>
      <c r="Y57" s="55"/>
    </row>
    <row r="58" spans="1:25" ht="48" customHeight="1">
      <c r="A58" s="45">
        <v>6</v>
      </c>
      <c r="B58" s="46" t="s">
        <v>336</v>
      </c>
      <c r="C58" s="46" t="s">
        <v>337</v>
      </c>
      <c r="D58" s="46" t="s">
        <v>338</v>
      </c>
      <c r="E58" s="46" t="s">
        <v>339</v>
      </c>
      <c r="F58" s="50" t="s">
        <v>311</v>
      </c>
      <c r="G58" s="50" t="s">
        <v>150</v>
      </c>
      <c r="H58" s="53">
        <v>749110</v>
      </c>
      <c r="I58" s="46" t="s">
        <v>162</v>
      </c>
      <c r="J58" s="51">
        <v>19507.6</v>
      </c>
      <c r="K58" s="95" t="s">
        <v>162</v>
      </c>
      <c r="L58" s="51">
        <f>17925.5+6287.5</f>
        <v>24213</v>
      </c>
      <c r="M58" s="95" t="s">
        <v>162</v>
      </c>
      <c r="N58" s="51">
        <v>6287.5</v>
      </c>
      <c r="O58" s="95" t="s">
        <v>162</v>
      </c>
      <c r="P58" s="102"/>
      <c r="Q58" s="46" t="s">
        <v>226</v>
      </c>
      <c r="R58" s="50" t="s">
        <v>340</v>
      </c>
      <c r="S58" s="46"/>
      <c r="T58" s="46" t="s">
        <v>165</v>
      </c>
      <c r="U58" s="46">
        <v>1010117</v>
      </c>
      <c r="V58" s="50" t="s">
        <v>202</v>
      </c>
      <c r="W58" s="46" t="s">
        <v>165</v>
      </c>
      <c r="X58" s="46"/>
      <c r="Y58" s="52" t="s">
        <v>167</v>
      </c>
    </row>
    <row r="59" spans="1:25" s="72" customFormat="1" ht="14.25">
      <c r="A59" s="131" t="s">
        <v>296</v>
      </c>
      <c r="B59" s="132"/>
      <c r="C59" s="132"/>
      <c r="D59" s="132"/>
      <c r="E59" s="132"/>
      <c r="F59" s="74"/>
      <c r="G59" s="74"/>
      <c r="H59" s="74"/>
      <c r="I59" s="74"/>
      <c r="J59" s="60">
        <f>SUM(J52:J58)</f>
        <v>212502.80000000002</v>
      </c>
      <c r="K59" s="60"/>
      <c r="L59" s="60"/>
      <c r="M59" s="60"/>
      <c r="N59" s="60">
        <f>SUM(N52:N58)</f>
        <v>54584.979999999996</v>
      </c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62"/>
    </row>
    <row r="60" spans="1:25" ht="51">
      <c r="A60" s="45">
        <v>1</v>
      </c>
      <c r="B60" s="46"/>
      <c r="C60" s="46" t="s">
        <v>341</v>
      </c>
      <c r="D60" s="46" t="s">
        <v>342</v>
      </c>
      <c r="E60" s="46" t="s">
        <v>343</v>
      </c>
      <c r="F60" s="46" t="s">
        <v>344</v>
      </c>
      <c r="G60" s="50" t="s">
        <v>302</v>
      </c>
      <c r="H60" s="51">
        <v>103281</v>
      </c>
      <c r="I60" s="46" t="s">
        <v>345</v>
      </c>
      <c r="J60" s="51">
        <v>0</v>
      </c>
      <c r="K60" s="46" t="s">
        <v>345</v>
      </c>
      <c r="L60" s="56">
        <v>0</v>
      </c>
      <c r="M60" s="46" t="s">
        <v>345</v>
      </c>
      <c r="N60" s="56">
        <v>0</v>
      </c>
      <c r="O60" s="46" t="s">
        <v>345</v>
      </c>
      <c r="P60" s="46"/>
      <c r="Q60" s="46" t="s">
        <v>345</v>
      </c>
      <c r="R60" s="46" t="s">
        <v>346</v>
      </c>
      <c r="S60" s="46">
        <v>10061</v>
      </c>
      <c r="T60" s="46" t="s">
        <v>347</v>
      </c>
      <c r="U60" s="46">
        <v>104006</v>
      </c>
      <c r="V60" s="46" t="s">
        <v>144</v>
      </c>
      <c r="W60" s="47"/>
      <c r="X60" s="46" t="s">
        <v>347</v>
      </c>
      <c r="Y60" s="52" t="s">
        <v>348</v>
      </c>
    </row>
    <row r="61" spans="1:25" ht="89.25">
      <c r="A61" s="45">
        <v>2</v>
      </c>
      <c r="B61" s="46"/>
      <c r="C61" s="46" t="s">
        <v>349</v>
      </c>
      <c r="D61" s="46" t="s">
        <v>350</v>
      </c>
      <c r="E61" s="46" t="s">
        <v>351</v>
      </c>
      <c r="F61" s="46" t="s">
        <v>344</v>
      </c>
      <c r="G61" s="50" t="s">
        <v>302</v>
      </c>
      <c r="H61" s="51">
        <v>1200000</v>
      </c>
      <c r="I61" s="46" t="s">
        <v>352</v>
      </c>
      <c r="J61" s="51">
        <v>0</v>
      </c>
      <c r="K61" s="46" t="s">
        <v>352</v>
      </c>
      <c r="L61" s="51">
        <v>38206.54</v>
      </c>
      <c r="M61" s="46" t="s">
        <v>352</v>
      </c>
      <c r="N61" s="56">
        <v>0</v>
      </c>
      <c r="O61" s="46" t="s">
        <v>352</v>
      </c>
      <c r="P61" s="46"/>
      <c r="Q61" s="46" t="s">
        <v>353</v>
      </c>
      <c r="R61" s="46" t="s">
        <v>354</v>
      </c>
      <c r="S61" s="46">
        <v>10061</v>
      </c>
      <c r="T61" s="46" t="s">
        <v>347</v>
      </c>
      <c r="U61" s="46">
        <v>104006</v>
      </c>
      <c r="V61" s="46" t="s">
        <v>144</v>
      </c>
      <c r="W61" s="47"/>
      <c r="X61" s="46" t="s">
        <v>347</v>
      </c>
      <c r="Y61" s="52" t="s">
        <v>32</v>
      </c>
    </row>
    <row r="62" spans="1:25" ht="51">
      <c r="A62" s="45">
        <v>3</v>
      </c>
      <c r="B62" s="50"/>
      <c r="C62" s="50" t="s">
        <v>355</v>
      </c>
      <c r="D62" s="50" t="s">
        <v>356</v>
      </c>
      <c r="E62" s="50" t="s">
        <v>357</v>
      </c>
      <c r="F62" s="46" t="s">
        <v>344</v>
      </c>
      <c r="G62" s="50" t="s">
        <v>150</v>
      </c>
      <c r="H62" s="51">
        <v>240000</v>
      </c>
      <c r="I62" s="50" t="s">
        <v>358</v>
      </c>
      <c r="J62" s="51">
        <v>0</v>
      </c>
      <c r="K62" s="50" t="s">
        <v>358</v>
      </c>
      <c r="L62" s="54">
        <v>20000</v>
      </c>
      <c r="M62" s="50">
        <v>28100</v>
      </c>
      <c r="N62" s="54">
        <v>20000</v>
      </c>
      <c r="O62" s="50" t="s">
        <v>358</v>
      </c>
      <c r="P62" s="46"/>
      <c r="Q62" s="46" t="s">
        <v>353</v>
      </c>
      <c r="R62" s="46" t="s">
        <v>354</v>
      </c>
      <c r="S62" s="46">
        <v>10061</v>
      </c>
      <c r="T62" s="46" t="s">
        <v>347</v>
      </c>
      <c r="U62" s="46">
        <v>104006</v>
      </c>
      <c r="V62" s="46" t="s">
        <v>144</v>
      </c>
      <c r="W62" s="47"/>
      <c r="X62" s="46" t="s">
        <v>347</v>
      </c>
      <c r="Y62" s="52" t="s">
        <v>348</v>
      </c>
    </row>
    <row r="63" spans="1:25" ht="51">
      <c r="A63" s="45">
        <v>4</v>
      </c>
      <c r="B63" s="50"/>
      <c r="C63" s="50" t="s">
        <v>359</v>
      </c>
      <c r="D63" s="50" t="s">
        <v>356</v>
      </c>
      <c r="E63" s="50" t="s">
        <v>360</v>
      </c>
      <c r="F63" s="46" t="s">
        <v>344</v>
      </c>
      <c r="G63" s="50" t="s">
        <v>302</v>
      </c>
      <c r="H63" s="51">
        <v>55789.35</v>
      </c>
      <c r="I63" s="51" t="s">
        <v>361</v>
      </c>
      <c r="J63" s="51">
        <v>0</v>
      </c>
      <c r="K63" s="51" t="s">
        <v>361</v>
      </c>
      <c r="L63" s="54">
        <v>39746.945</v>
      </c>
      <c r="M63" s="51" t="s">
        <v>361</v>
      </c>
      <c r="N63" s="54">
        <v>39746.945</v>
      </c>
      <c r="O63" s="51" t="s">
        <v>361</v>
      </c>
      <c r="P63" s="46"/>
      <c r="Q63" s="46" t="s">
        <v>353</v>
      </c>
      <c r="R63" s="46" t="s">
        <v>354</v>
      </c>
      <c r="S63" s="46">
        <v>10061</v>
      </c>
      <c r="T63" s="46" t="s">
        <v>347</v>
      </c>
      <c r="U63" s="46">
        <v>104006</v>
      </c>
      <c r="V63" s="46" t="s">
        <v>144</v>
      </c>
      <c r="W63" s="47"/>
      <c r="X63" s="46" t="s">
        <v>347</v>
      </c>
      <c r="Y63" s="52" t="s">
        <v>32</v>
      </c>
    </row>
    <row r="64" spans="1:25" ht="81" customHeight="1">
      <c r="A64" s="45">
        <v>5</v>
      </c>
      <c r="B64" s="50"/>
      <c r="C64" s="101" t="s">
        <v>332</v>
      </c>
      <c r="D64" s="50" t="s">
        <v>333</v>
      </c>
      <c r="E64" s="50" t="s">
        <v>362</v>
      </c>
      <c r="F64" s="46" t="s">
        <v>344</v>
      </c>
      <c r="G64" s="50" t="s">
        <v>302</v>
      </c>
      <c r="H64" s="51">
        <v>119353.8</v>
      </c>
      <c r="I64" s="51" t="s">
        <v>363</v>
      </c>
      <c r="J64" s="51">
        <v>0</v>
      </c>
      <c r="K64" s="51" t="s">
        <v>363</v>
      </c>
      <c r="L64" s="54">
        <v>17507.7</v>
      </c>
      <c r="M64" s="103" t="s">
        <v>363</v>
      </c>
      <c r="N64" s="54">
        <v>17507.7</v>
      </c>
      <c r="O64" s="51" t="s">
        <v>363</v>
      </c>
      <c r="P64" s="46"/>
      <c r="Q64" s="50" t="s">
        <v>335</v>
      </c>
      <c r="R64" s="50" t="s">
        <v>226</v>
      </c>
      <c r="S64" s="46">
        <v>10061</v>
      </c>
      <c r="T64" s="50" t="s">
        <v>335</v>
      </c>
      <c r="U64" s="46">
        <v>104006</v>
      </c>
      <c r="V64" s="46" t="s">
        <v>144</v>
      </c>
      <c r="W64" s="47"/>
      <c r="X64" s="50" t="s">
        <v>335</v>
      </c>
      <c r="Y64" s="52" t="s">
        <v>32</v>
      </c>
    </row>
    <row r="65" spans="1:25" ht="109.5" customHeight="1" thickBot="1">
      <c r="A65" s="64">
        <v>6</v>
      </c>
      <c r="B65" s="65"/>
      <c r="C65" s="65" t="s">
        <v>253</v>
      </c>
      <c r="D65" s="66" t="s">
        <v>356</v>
      </c>
      <c r="E65" s="65" t="s">
        <v>364</v>
      </c>
      <c r="F65" s="65" t="s">
        <v>344</v>
      </c>
      <c r="G65" s="66" t="s">
        <v>302</v>
      </c>
      <c r="H65" s="67">
        <v>204000</v>
      </c>
      <c r="I65" s="67" t="s">
        <v>365</v>
      </c>
      <c r="J65" s="67">
        <v>0</v>
      </c>
      <c r="K65" s="67" t="s">
        <v>365</v>
      </c>
      <c r="L65" s="67">
        <v>0</v>
      </c>
      <c r="M65" s="67" t="s">
        <v>365</v>
      </c>
      <c r="N65" s="68">
        <v>0</v>
      </c>
      <c r="O65" s="67" t="s">
        <v>365</v>
      </c>
      <c r="P65" s="65"/>
      <c r="Q65" s="65" t="s">
        <v>353</v>
      </c>
      <c r="R65" s="65" t="s">
        <v>354</v>
      </c>
      <c r="S65" s="65">
        <v>10061</v>
      </c>
      <c r="T65" s="65" t="s">
        <v>347</v>
      </c>
      <c r="U65" s="65">
        <v>104006</v>
      </c>
      <c r="V65" s="65" t="s">
        <v>144</v>
      </c>
      <c r="W65" s="69"/>
      <c r="X65" s="65" t="s">
        <v>347</v>
      </c>
      <c r="Y65" s="70" t="s">
        <v>32</v>
      </c>
    </row>
  </sheetData>
  <sheetProtection/>
  <mergeCells count="33">
    <mergeCell ref="A51:E51"/>
    <mergeCell ref="A59:E59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N9:O10"/>
    <mergeCell ref="T8:T11"/>
    <mergeCell ref="U8:U11"/>
    <mergeCell ref="A8:A11"/>
    <mergeCell ref="B8:C8"/>
    <mergeCell ref="D8:D11"/>
    <mergeCell ref="E8:G8"/>
    <mergeCell ref="H8:K8"/>
    <mergeCell ref="L8:O8"/>
    <mergeCell ref="J9:K10"/>
    <mergeCell ref="L9:M10"/>
    <mergeCell ref="A1:P1"/>
    <mergeCell ref="A2:P2"/>
    <mergeCell ref="A3:P3"/>
    <mergeCell ref="A4:P4"/>
    <mergeCell ref="A5:P5"/>
    <mergeCell ref="A6:P6"/>
  </mergeCells>
  <printOptions/>
  <pageMargins left="0.7" right="0.23" top="0.75" bottom="0.75" header="0.3" footer="0.3"/>
  <pageSetup orientation="landscape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Harutyunyan</dc:creator>
  <cp:keywords/>
  <dc:description/>
  <cp:lastModifiedBy>Maria Harutyunyan</cp:lastModifiedBy>
  <cp:lastPrinted>2017-07-28T06:46:20Z</cp:lastPrinted>
  <dcterms:created xsi:type="dcterms:W3CDTF">1996-10-14T23:33:28Z</dcterms:created>
  <dcterms:modified xsi:type="dcterms:W3CDTF">2017-07-28T07:07:43Z</dcterms:modified>
  <cp:category/>
  <cp:version/>
  <cp:contentType/>
  <cp:contentStatus/>
</cp:coreProperties>
</file>