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obligation\Share\229\Ashxatanqain\Ջանջուղազյան և Զարգարյան\Հրապարակման\2022\12.2022\"/>
    </mc:Choice>
  </mc:AlternateContent>
  <bookViews>
    <workbookView xWindow="0" yWindow="0" windowWidth="28800" windowHeight="12330" firstSheet="1" activeTab="1"/>
  </bookViews>
  <sheets>
    <sheet name="Sheet1" sheetId="1" state="hidden" r:id="rId1"/>
    <sheet name="դեկտեմբեր" sheetId="12" r:id="rId2"/>
    <sheet name="բյուջետային երաշխիք" sheetId="3" r:id="rId3"/>
    <sheet name="Government Guarantees" sheetId="11" r:id="rId4"/>
  </sheets>
  <externalReferences>
    <externalReference r:id="rId5"/>
  </externalReferences>
  <definedNames>
    <definedName name="aaa" localSheetId="1">#REF!</definedName>
    <definedName name="aaa">#REF!</definedName>
    <definedName name="ggg" localSheetId="1">#REF!</definedName>
    <definedName name="ggg">#REF!</definedName>
    <definedName name="Lus">#REF!</definedName>
    <definedName name="print">#REF!</definedName>
    <definedName name="Table1" localSheetId="1">#REF!</definedName>
    <definedName name="Table1">#REF!</definedName>
    <definedName name="vlom">[1]VTB!#REF!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1" l="1"/>
  <c r="G4" i="11"/>
  <c r="D24" i="3" l="1"/>
  <c r="I142" i="12" l="1"/>
  <c r="H142" i="12"/>
  <c r="J141" i="12"/>
  <c r="J140" i="12"/>
  <c r="J139" i="12"/>
  <c r="J138" i="12"/>
  <c r="J137" i="12"/>
  <c r="M136" i="12"/>
  <c r="L136" i="12"/>
  <c r="K136" i="12"/>
  <c r="I136" i="12"/>
  <c r="H136" i="12"/>
  <c r="M135" i="12"/>
  <c r="L135" i="12"/>
  <c r="K135" i="12"/>
  <c r="I135" i="12"/>
  <c r="H135" i="12"/>
  <c r="M133" i="12"/>
  <c r="L133" i="12"/>
  <c r="K133" i="12"/>
  <c r="I133" i="12"/>
  <c r="H133" i="12"/>
  <c r="M132" i="12"/>
  <c r="M131" i="12"/>
  <c r="L131" i="12"/>
  <c r="L130" i="12"/>
  <c r="K130" i="12"/>
  <c r="M130" i="12" s="1"/>
  <c r="M129" i="12"/>
  <c r="L129" i="12"/>
  <c r="M128" i="12"/>
  <c r="L128" i="12"/>
  <c r="M127" i="12"/>
  <c r="M126" i="12"/>
  <c r="L126" i="12"/>
  <c r="L125" i="12"/>
  <c r="M125" i="12" s="1"/>
  <c r="K125" i="12"/>
  <c r="L124" i="12"/>
  <c r="I124" i="12"/>
  <c r="M124" i="12" s="1"/>
  <c r="M123" i="12"/>
  <c r="L123" i="12"/>
  <c r="L122" i="12"/>
  <c r="I122" i="12"/>
  <c r="M122" i="12" s="1"/>
  <c r="H122" i="12"/>
  <c r="L121" i="12"/>
  <c r="K121" i="12"/>
  <c r="M121" i="12" s="1"/>
  <c r="M120" i="12"/>
  <c r="L120" i="12"/>
  <c r="L119" i="12"/>
  <c r="I119" i="12"/>
  <c r="M119" i="12" s="1"/>
  <c r="M118" i="12"/>
  <c r="L118" i="12"/>
  <c r="M117" i="12"/>
  <c r="L117" i="12"/>
  <c r="M116" i="12"/>
  <c r="I115" i="12"/>
  <c r="H115" i="12"/>
  <c r="L114" i="12"/>
  <c r="K114" i="12"/>
  <c r="M113" i="12"/>
  <c r="M112" i="12"/>
  <c r="L112" i="12"/>
  <c r="M111" i="12"/>
  <c r="L111" i="12"/>
  <c r="K111" i="12"/>
  <c r="I111" i="12"/>
  <c r="H111" i="12"/>
  <c r="M110" i="12"/>
  <c r="L110" i="12"/>
  <c r="K110" i="12"/>
  <c r="I110" i="12"/>
  <c r="H110" i="12"/>
  <c r="M108" i="12"/>
  <c r="L108" i="12"/>
  <c r="K108" i="12"/>
  <c r="I108" i="12"/>
  <c r="H108" i="12"/>
  <c r="M107" i="12"/>
  <c r="L107" i="12"/>
  <c r="M106" i="12"/>
  <c r="L106" i="12"/>
  <c r="M105" i="12"/>
  <c r="L105" i="12"/>
  <c r="M104" i="12"/>
  <c r="L103" i="12"/>
  <c r="K103" i="12"/>
  <c r="I103" i="12"/>
  <c r="H103" i="12"/>
  <c r="K102" i="12"/>
  <c r="H102" i="12"/>
  <c r="M101" i="12"/>
  <c r="L101" i="12"/>
  <c r="K101" i="12"/>
  <c r="I101" i="12"/>
  <c r="H101" i="12"/>
  <c r="I100" i="12"/>
  <c r="H100" i="12"/>
  <c r="K99" i="12"/>
  <c r="H99" i="12"/>
  <c r="I98" i="12"/>
  <c r="H98" i="12"/>
  <c r="M97" i="12"/>
  <c r="L97" i="12"/>
  <c r="M96" i="12"/>
  <c r="L96" i="12"/>
  <c r="M95" i="12"/>
  <c r="M94" i="12"/>
  <c r="M93" i="12"/>
  <c r="M89" i="12"/>
  <c r="L89" i="12"/>
  <c r="M88" i="12"/>
  <c r="L88" i="12"/>
  <c r="M87" i="12"/>
  <c r="L87" i="12"/>
  <c r="M86" i="12"/>
  <c r="L86" i="12"/>
  <c r="M85" i="12"/>
  <c r="M84" i="12"/>
  <c r="I83" i="12"/>
  <c r="M83" i="12" s="1"/>
  <c r="M82" i="12"/>
  <c r="M81" i="12"/>
  <c r="M80" i="12"/>
  <c r="M79" i="12"/>
  <c r="M78" i="12"/>
  <c r="I77" i="12"/>
  <c r="M76" i="12"/>
  <c r="M75" i="12"/>
  <c r="L74" i="12"/>
  <c r="L98" i="12" s="1"/>
  <c r="K74" i="12"/>
  <c r="K98" i="12" s="1"/>
  <c r="L73" i="12"/>
  <c r="K73" i="12"/>
  <c r="M73" i="12" s="1"/>
  <c r="M72" i="12"/>
  <c r="L72" i="12"/>
  <c r="K72" i="12"/>
  <c r="I72" i="12"/>
  <c r="H72" i="12"/>
  <c r="I71" i="12"/>
  <c r="H71" i="12"/>
  <c r="I70" i="12"/>
  <c r="H70" i="12"/>
  <c r="I69" i="12"/>
  <c r="H69" i="12"/>
  <c r="M68" i="12"/>
  <c r="M67" i="12"/>
  <c r="M66" i="12"/>
  <c r="L65" i="12"/>
  <c r="L71" i="12" s="1"/>
  <c r="K65" i="12"/>
  <c r="K71" i="12" s="1"/>
  <c r="L64" i="12"/>
  <c r="L69" i="12" s="1"/>
  <c r="K64" i="12"/>
  <c r="K69" i="12" s="1"/>
  <c r="M63" i="12"/>
  <c r="L62" i="12"/>
  <c r="L70" i="12" s="1"/>
  <c r="K62" i="12"/>
  <c r="M62" i="12" s="1"/>
  <c r="M61" i="12"/>
  <c r="L61" i="12"/>
  <c r="K61" i="12"/>
  <c r="I61" i="12"/>
  <c r="H61" i="12"/>
  <c r="M60" i="12"/>
  <c r="L60" i="12"/>
  <c r="K60" i="12"/>
  <c r="I60" i="12"/>
  <c r="H60" i="12"/>
  <c r="L59" i="12"/>
  <c r="K59" i="12"/>
  <c r="I59" i="12"/>
  <c r="H59" i="12"/>
  <c r="L58" i="12"/>
  <c r="K58" i="12"/>
  <c r="I58" i="12"/>
  <c r="H58" i="12"/>
  <c r="M57" i="12"/>
  <c r="M56" i="12"/>
  <c r="M55" i="12"/>
  <c r="M54" i="12"/>
  <c r="M53" i="12"/>
  <c r="M52" i="12"/>
  <c r="K51" i="12"/>
  <c r="K141" i="12" s="1"/>
  <c r="I51" i="12"/>
  <c r="I141" i="12" s="1"/>
  <c r="H51" i="12"/>
  <c r="H141" i="12" s="1"/>
  <c r="L50" i="12"/>
  <c r="K50" i="12"/>
  <c r="I50" i="12"/>
  <c r="H50" i="12"/>
  <c r="I49" i="12"/>
  <c r="H48" i="12"/>
  <c r="H47" i="12"/>
  <c r="M46" i="12"/>
  <c r="M45" i="12"/>
  <c r="I44" i="12"/>
  <c r="I48" i="12" s="1"/>
  <c r="M43" i="12"/>
  <c r="M42" i="12"/>
  <c r="M41" i="12"/>
  <c r="L41" i="12"/>
  <c r="L40" i="12"/>
  <c r="K40" i="12"/>
  <c r="M40" i="12" s="1"/>
  <c r="K39" i="12"/>
  <c r="M39" i="12" s="1"/>
  <c r="L38" i="12"/>
  <c r="K38" i="12"/>
  <c r="M38" i="12" s="1"/>
  <c r="M37" i="12"/>
  <c r="K36" i="12"/>
  <c r="M36" i="12" s="1"/>
  <c r="K35" i="12"/>
  <c r="M35" i="12" s="1"/>
  <c r="K34" i="12"/>
  <c r="M34" i="12" s="1"/>
  <c r="M33" i="12"/>
  <c r="M32" i="12"/>
  <c r="M31" i="12"/>
  <c r="M30" i="12"/>
  <c r="M29" i="12"/>
  <c r="L28" i="12"/>
  <c r="K28" i="12"/>
  <c r="M28" i="12" s="1"/>
  <c r="L27" i="12"/>
  <c r="K27" i="12"/>
  <c r="M26" i="12"/>
  <c r="L26" i="12"/>
  <c r="M25" i="12"/>
  <c r="L25" i="12"/>
  <c r="L51" i="12" s="1"/>
  <c r="L141" i="12" s="1"/>
  <c r="M24" i="12"/>
  <c r="M23" i="12"/>
  <c r="M22" i="12"/>
  <c r="M21" i="12"/>
  <c r="M20" i="12"/>
  <c r="M19" i="12"/>
  <c r="M18" i="12"/>
  <c r="M17" i="12"/>
  <c r="H17" i="12"/>
  <c r="M16" i="12"/>
  <c r="M15" i="12"/>
  <c r="H15" i="12"/>
  <c r="M14" i="12"/>
  <c r="M13" i="12"/>
  <c r="L13" i="12"/>
  <c r="M12" i="12"/>
  <c r="M11" i="12"/>
  <c r="M10" i="12"/>
  <c r="L10" i="12"/>
  <c r="L9" i="12"/>
  <c r="I9" i="12"/>
  <c r="M9" i="12" s="1"/>
  <c r="M8" i="12"/>
  <c r="L8" i="12"/>
  <c r="L7" i="12"/>
  <c r="K7" i="12"/>
  <c r="M7" i="12" s="1"/>
  <c r="L6" i="12"/>
  <c r="K6" i="12"/>
  <c r="M6" i="12" s="1"/>
  <c r="L5" i="12"/>
  <c r="K5" i="12"/>
  <c r="I5" i="12"/>
  <c r="M74" i="12" l="1"/>
  <c r="M98" i="12" s="1"/>
  <c r="L99" i="12"/>
  <c r="K109" i="12"/>
  <c r="L109" i="12"/>
  <c r="M70" i="12"/>
  <c r="L100" i="12"/>
  <c r="I99" i="12"/>
  <c r="M103" i="12"/>
  <c r="K48" i="12"/>
  <c r="K140" i="12"/>
  <c r="K49" i="12"/>
  <c r="I139" i="12"/>
  <c r="M59" i="12"/>
  <c r="M102" i="12"/>
  <c r="M109" i="12" s="1"/>
  <c r="K134" i="12"/>
  <c r="I47" i="12"/>
  <c r="I137" i="12" s="1"/>
  <c r="L47" i="12"/>
  <c r="L137" i="12" s="1"/>
  <c r="L49" i="12"/>
  <c r="L139" i="12" s="1"/>
  <c r="H137" i="12"/>
  <c r="K70" i="12"/>
  <c r="I134" i="12"/>
  <c r="M142" i="12"/>
  <c r="L48" i="12"/>
  <c r="L140" i="12"/>
  <c r="H134" i="12"/>
  <c r="H140" i="12"/>
  <c r="K47" i="12"/>
  <c r="K137" i="12" s="1"/>
  <c r="H49" i="12"/>
  <c r="H139" i="12" s="1"/>
  <c r="M51" i="12"/>
  <c r="M141" i="12" s="1"/>
  <c r="M27" i="12"/>
  <c r="M50" i="12"/>
  <c r="M140" i="12" s="1"/>
  <c r="I140" i="12"/>
  <c r="M58" i="12"/>
  <c r="L134" i="12"/>
  <c r="L138" i="12" s="1"/>
  <c r="M114" i="12"/>
  <c r="M100" i="12"/>
  <c r="M44" i="12"/>
  <c r="M64" i="12"/>
  <c r="M77" i="12"/>
  <c r="H109" i="12"/>
  <c r="M115" i="12"/>
  <c r="K100" i="12"/>
  <c r="M5" i="12"/>
  <c r="M65" i="12"/>
  <c r="I109" i="12"/>
  <c r="K138" i="12" l="1"/>
  <c r="I138" i="12"/>
  <c r="H138" i="12"/>
  <c r="M48" i="12"/>
  <c r="K139" i="12"/>
  <c r="M49" i="12"/>
  <c r="M99" i="12"/>
  <c r="M69" i="12"/>
  <c r="M71" i="12"/>
  <c r="M47" i="12"/>
  <c r="M134" i="12"/>
  <c r="M138" i="12" s="1"/>
  <c r="M139" i="12" l="1"/>
  <c r="M137" i="12"/>
  <c r="E14" i="3" l="1"/>
  <c r="E6" i="3" l="1"/>
  <c r="E24" i="3" s="1"/>
  <c r="F2" i="1" l="1"/>
  <c r="F3" i="1"/>
</calcChain>
</file>

<file path=xl/comments1.xml><?xml version="1.0" encoding="utf-8"?>
<comments xmlns="http://schemas.openxmlformats.org/spreadsheetml/2006/main">
  <authors>
    <author>Lusine Grigoryan</author>
    <author>Armen.Manukyan</author>
    <author>Susanna Sargsyan</author>
    <author>Armen Manukyan</author>
  </authors>
  <commentList>
    <comment ref="E8" authorId="0" shapeId="0">
      <text>
        <r>
          <rPr>
            <b/>
            <sz val="10"/>
            <color indexed="81"/>
            <rFont val="Tahoma"/>
            <family val="2"/>
          </rPr>
          <t>Lusine Grigoryan:</t>
        </r>
        <r>
          <rPr>
            <sz val="10"/>
            <color indexed="81"/>
            <rFont val="Tahoma"/>
            <family val="2"/>
          </rPr>
          <t xml:space="preserve">
KFW-09122014</t>
        </r>
      </text>
    </comment>
    <comment ref="E9" authorId="0" shapeId="0">
      <text>
        <r>
          <rPr>
            <b/>
            <sz val="10"/>
            <color indexed="81"/>
            <rFont val="Tahoma"/>
            <family val="2"/>
          </rPr>
          <t>Lusine Grigoryan:</t>
        </r>
        <r>
          <rPr>
            <sz val="10"/>
            <color indexed="81"/>
            <rFont val="Tahoma"/>
            <family val="2"/>
          </rPr>
          <t xml:space="preserve">
KFW-09122014-1</t>
        </r>
      </text>
    </comment>
    <comment ref="E15" authorId="0" shapeId="0">
      <text>
        <r>
          <rPr>
            <b/>
            <sz val="10"/>
            <color indexed="81"/>
            <rFont val="Tahoma"/>
            <family val="2"/>
          </rPr>
          <t>Lusine Grigoryan:</t>
        </r>
        <r>
          <rPr>
            <sz val="10"/>
            <color indexed="81"/>
            <rFont val="Tahoma"/>
            <family val="2"/>
          </rPr>
          <t xml:space="preserve">
IBRD-01062011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Համաձայն 26.04.2017թ. կնքված համաձայնագրի  մասհանման վերջնաժամկետ է սահմանվել 30.06.2018թ. (30.06.2016 փոխարեն)
Համաձայն 23.11.2018թ. կնքված համաձայնագրի մասհանման վերջնաժամկետ է սահմանվել 31.12.2019թ. (30.06.2018 փոխարեն)
Համաձայն 14.02.2020թ. նքված համաձայնագրի գումարը նվազել է 3,5 մլն դոլարով` կազմելով 35,5 մլն, իսկ մասհանման վերջնաժամկետ է սահմանվել 31.12.2020թ. (31.12.2020 փոխարեն)
30.04.2021թ. դրությամբ առկա 1,434,414.80 ԱՄՆ դոլար ենթավարկի մնացորդը չեղարկվել է (27.09.2021թ. կնքված փոփոխոիթյան)</t>
        </r>
      </text>
    </comment>
    <comment ref="J15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15.05.2022թ.-ից</t>
        </r>
      </text>
    </comment>
    <comment ref="H17" authorId="0" shapeId="0">
      <text>
        <r>
          <rPr>
            <b/>
            <sz val="10"/>
            <color indexed="81"/>
            <rFont val="Tahoma"/>
            <family val="2"/>
          </rPr>
          <t>Lusine Grigoryan:
Հ</t>
        </r>
        <r>
          <rPr>
            <sz val="10"/>
            <color indexed="81"/>
            <rFont val="Tahoma"/>
            <family val="2"/>
          </rPr>
          <t>ամաձայն 13.07.20թ. կնքված համաձայնագրի գումարը նվազել է 2,5 մլն դոլարով` կազմելով 37,5 մլն
Համաձայն 14.02.2020թ. կնքված համաձայնագրի գումարը նվազել է 1,5 մլն դոլարով` կազմելով 36,0 մլն և մասհանման վերջնաժամկետ է սահմանվել 31.12.2020թ. 
Համաձայն 03.02.2021թ. կնքված համաձայնագրով մասհանման վերջնաժամկետ է սահմանվել 31.12.2023թ.(նախկին 31.12.2020թ փոխարեն)</t>
        </r>
      </text>
    </comment>
    <comment ref="J17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15.02.2022թ.-ից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52 մլն դոլար</t>
        </r>
      </text>
    </comment>
    <comment ref="H19" authorId="0" shapeId="0">
      <text>
        <r>
          <rPr>
            <b/>
            <sz val="10"/>
            <color indexed="81"/>
            <rFont val="Tahoma"/>
            <family val="2"/>
          </rPr>
          <t>Lusine Grigoryan:</t>
        </r>
        <r>
          <rPr>
            <sz val="10"/>
            <color indexed="81"/>
            <rFont val="Tahoma"/>
            <family val="2"/>
          </rPr>
          <t xml:space="preserve">
29.06.2018թ. Համաձայնագրով 21.794.486  փոխարինվել է 28.194.486
14.02.2020թ. Համաձայնագրով 28.194.486 դոլար գումարը նվազել է 5 մլն և   փոխարինվել է 23.194.486
03.02.2021թ. Համաձայնագրով մասհանման ժամկետը երկարաձգվել է 31.12.2023 (31.12.2020 փոխարեն)</t>
        </r>
      </text>
    </comment>
    <comment ref="H21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11.06.2018թ. Համաձայնագրով 30.205.514  փոխարինվել է 22.305.514
14.02.2020թ. Համաձայնագրով 22.305.514    փոխարինվել է 16.662.617
</t>
        </r>
      </text>
    </comment>
    <comment ref="H23" authorId="0" shapeId="0">
      <text>
        <r>
          <rPr>
            <b/>
            <sz val="10"/>
            <color indexed="81"/>
            <rFont val="Tahoma"/>
            <family val="2"/>
          </rPr>
          <t>Lusine Grigoryan:</t>
        </r>
        <r>
          <rPr>
            <sz val="10"/>
            <color indexed="81"/>
            <rFont val="Tahoma"/>
            <family val="2"/>
          </rPr>
          <t xml:space="preserve">
18.06.2020թ. Համաձայնագրով 15.192.292 SDR փոխարինվել է 13.988.153 SDR, իսկ մասհանման ժամկետը երկարաձգվել է մինչև 30.06.2022թ (30.06.2020 փոխարեն)</t>
        </r>
      </text>
    </comment>
    <comment ref="H25" authorId="0" shapeId="0">
      <text>
        <r>
          <rPr>
            <b/>
            <sz val="10"/>
            <color indexed="81"/>
            <rFont val="Tahoma"/>
            <family val="2"/>
          </rPr>
          <t>Lusine Grigoryan:</t>
        </r>
        <r>
          <rPr>
            <sz val="10"/>
            <color indexed="81"/>
            <rFont val="Tahoma"/>
            <family val="2"/>
          </rPr>
          <t xml:space="preserve">
25.05.2020թ. Համաձայնագրով 8.829.708 SDR փոխարինվել է 10.098.535 SDR, իսկ մասհանման ժամկետը երկարաձգվել է մինչև 30.06.2022թ (30.06.2020 փոխարեն)</t>
        </r>
      </text>
    </comment>
    <comment ref="I29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Վարկի (Գ) բաղադրիչի մասով մայր գումարի տրամադրումը հաշվարկվում է  հաշվարկվում է Համաձայնագրի 7.4 կետում բերված բանաձևով մասհանցած գումար*0,29*1,3  </t>
        </r>
      </text>
    </comment>
    <comment ref="I30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Վարկի (Գ) բաղադրիչի մասով մայր գումարի տրամադրումը հաշվարկվում է  հաշվարկվում է Համաձայնագրի 7.4 կետում բերված բանաձևով մասհանցած գումար*0,71*1,3  </t>
        </r>
      </text>
    </comment>
    <comment ref="B34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նախկինում՝ «Որոտանի հիդրոէլեկտրակայանների համալիր »  ՓԲԸ</t>
        </r>
      </text>
    </comment>
    <comment ref="I37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9.713.669 ճապ. Իեն գումարը չեղյալ է համարվել</t>
        </r>
      </text>
    </comment>
    <comment ref="L55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Առանց 1% iի չափով վճարված 75,000 եվրո կանխավճարի</t>
        </r>
      </text>
    </comment>
    <comment ref="C67" authorId="0" shapeId="0">
      <text>
        <r>
          <rPr>
            <b/>
            <sz val="10"/>
            <color indexed="81"/>
            <rFont val="Tahoma"/>
            <family val="2"/>
          </rPr>
          <t>Lusine Grigoryan:</t>
        </r>
        <r>
          <rPr>
            <sz val="10"/>
            <color indexed="81"/>
            <rFont val="Tahoma"/>
            <family val="2"/>
          </rPr>
          <t xml:space="preserve">
730-AM</t>
        </r>
      </text>
    </comment>
    <comment ref="C68" authorId="0" shapeId="0">
      <text>
        <r>
          <rPr>
            <b/>
            <sz val="10"/>
            <color indexed="81"/>
            <rFont val="Tahoma"/>
            <family val="2"/>
          </rPr>
          <t>Lusine Grigoryan:</t>
        </r>
        <r>
          <rPr>
            <sz val="10"/>
            <color indexed="81"/>
            <rFont val="Tahoma"/>
            <family val="2"/>
          </rPr>
          <t xml:space="preserve">
779-AM</t>
        </r>
      </text>
    </comment>
    <comment ref="E74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ՀՀ վարչապետ Տիգրան Սարգսյանի մոտ 2011թ. ապրիլի 27-ին կայացած` խորհրդակցության N 23.8/75092-11 արձանագրություն</t>
        </r>
      </text>
    </comment>
    <comment ref="E78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ՀՀ կառավարության 19.07.2013թ. N 900-Ա որոշում</t>
        </r>
      </text>
    </comment>
    <comment ref="E80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 ՀՀ կառավարության 20.06.2011թ.  N  681 - Ա որոշում</t>
        </r>
      </text>
    </comment>
    <comment ref="E81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ՀՀ կառավարության 02.08.2012թ. N 1018  -Ն որոշում</t>
        </r>
      </text>
    </comment>
    <comment ref="E82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ՀՀ կառավարության 06.02.2014թ.  N  194 -Ն որոշում</t>
        </r>
      </text>
    </comment>
    <comment ref="E84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ՀՀ կառավարության 10.12.2015թ. N 1436-Ն որոշում</t>
        </r>
      </text>
    </comment>
    <comment ref="E85" authorId="1" shapeId="0">
      <text>
        <r>
          <rPr>
            <b/>
            <sz val="8"/>
            <color indexed="81"/>
            <rFont val="Tahoma"/>
            <family val="2"/>
          </rPr>
          <t>Armen.Manukyan:</t>
        </r>
        <r>
          <rPr>
            <sz val="8"/>
            <color indexed="81"/>
            <rFont val="Tahoma"/>
            <family val="2"/>
          </rPr>
          <t xml:space="preserve">
ՀՀ կառավարության 29.01.2016թ. N 73-Ն որոշում</t>
        </r>
      </text>
    </comment>
    <comment ref="K85" authorId="0" shapeId="0">
      <text>
        <r>
          <rPr>
            <b/>
            <sz val="10"/>
            <color indexed="81"/>
            <rFont val="Tahoma"/>
            <family val="2"/>
          </rPr>
          <t>Lusine Grigoryan:</t>
        </r>
        <r>
          <rPr>
            <sz val="10"/>
            <color indexed="81"/>
            <rFont val="Tahoma"/>
            <family val="2"/>
          </rPr>
          <t xml:space="preserve">
ՀՀ կառավարության 07.12.2017թ. N 1585-Ն որոշման համաձայն 163,143,274 դրամ գումարի չափով մայր գումարի նվազեցում</t>
        </r>
      </text>
    </comment>
    <comment ref="F96" authorId="2" shapeId="0">
      <text>
        <r>
          <rPr>
            <b/>
            <sz val="9"/>
            <color indexed="81"/>
            <rFont val="Tahoma"/>
            <family val="2"/>
          </rPr>
          <t>Susanna Sargsyan:</t>
        </r>
        <r>
          <rPr>
            <sz val="9"/>
            <color indexed="81"/>
            <rFont val="Tahoma"/>
            <family val="2"/>
          </rPr>
          <t xml:space="preserve">
Համաձայն ՀՀ կառ.24.12.20թ. 2174-Ն որոշման, 25.12.2020թ.-ին կնքվել է համաձայնագիր, որով փոփոխվել են տոկոսն ու մարման ժամկետը</t>
        </r>
      </text>
    </comment>
    <comment ref="F97" authorId="2" shapeId="0">
      <text>
        <r>
          <rPr>
            <b/>
            <sz val="9"/>
            <color indexed="81"/>
            <rFont val="Tahoma"/>
            <family val="2"/>
          </rPr>
          <t>Susanna Sargsyan:</t>
        </r>
        <r>
          <rPr>
            <sz val="9"/>
            <color indexed="81"/>
            <rFont val="Tahoma"/>
            <family val="2"/>
          </rPr>
          <t xml:space="preserve">
Համաձայն ՀՀ կառ.24.12.20թ. 2176-Ա որոշման, 25.12.2020թ.-ին կնքվել է համաձայնագիր, որով փոփոխվել են տոկոսն ու մարման ժամկետը</t>
        </r>
      </text>
    </comment>
    <comment ref="C102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1-ին միջոցառում</t>
        </r>
      </text>
    </comment>
    <comment ref="F102" authorId="3" shapeId="0">
      <text>
        <r>
          <rPr>
            <b/>
            <sz val="9"/>
            <color indexed="81"/>
            <rFont val="Tahoma"/>
            <family val="2"/>
          </rPr>
          <t>Armen Manukyan:</t>
        </r>
        <r>
          <rPr>
            <sz val="9"/>
            <color indexed="81"/>
            <rFont val="Tahoma"/>
            <family val="2"/>
          </rPr>
          <t xml:space="preserve">
Համաձայն 02.06.20թ. Փոփոխություններ և լրացումներ կատարելու մասին համաձայնագրի՝ ԳՖԿ-ների կողմից վարկի մարման առավելագույն ժամկետը 31.05.22թ., որից հետո  հետո 3-րդ աշխատանքային օրում գումարը պետք է փոխանցվի 900005052015 հաշվեհամարին:</t>
        </r>
      </text>
    </comment>
    <comment ref="I102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Ամբողջովին տրամադրված</t>
        </r>
      </text>
    </comment>
    <comment ref="C103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3-րդ միջոցառում</t>
        </r>
      </text>
    </comment>
    <comment ref="K103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140537000+5009140 ավելացվել է 2022թ. հոկտեմբերին
Փաստացի տրամադրված վարկերի հետ վերադարձը եղել է 
2020թ.ընթացքում 140537000 դրամ
2021թ.ընթացքում 5009140 դրամ
200000 եկելա 2-րդ միջոցառւոմից</t>
        </r>
      </text>
    </comment>
    <comment ref="I151" authorId="0" shapeId="0">
      <text>
        <r>
          <rPr>
            <b/>
            <sz val="10"/>
            <color indexed="81"/>
            <rFont val="Tahoma"/>
            <family val="2"/>
          </rPr>
          <t>Lusine Grigoryan:</t>
        </r>
        <r>
          <rPr>
            <sz val="10"/>
            <color indexed="81"/>
            <rFont val="Tahoma"/>
            <family val="2"/>
          </rPr>
          <t xml:space="preserve">
բյուջեից տրամադրված վարկերի մնացորդ</t>
        </r>
      </text>
    </comment>
  </commentList>
</comments>
</file>

<file path=xl/sharedStrings.xml><?xml version="1.0" encoding="utf-8"?>
<sst xmlns="http://schemas.openxmlformats.org/spreadsheetml/2006/main" count="899" uniqueCount="462">
  <si>
    <t xml:space="preserve">
 ՀՀ ԿԲ գերմանահայկական հիմնադրամին վարկավորում</t>
  </si>
  <si>
    <t xml:space="preserve">
Կորոնավիրուսի (COVID-19) տնտեսական հետևանքների չեզոքացման  1-ին միջոցառման շրջանակներում ՀՀ ԿԲ գերմանահայկական հինադրամին վարկավորում</t>
  </si>
  <si>
    <t>31.03.2020թ
16/310320-1 ֆինանսական գործակալության պայմանագիր</t>
  </si>
  <si>
    <t>ՀՀ դրամ</t>
  </si>
  <si>
    <t xml:space="preserve"> ՀՀ էկոնոմիկայի նախարարություն</t>
  </si>
  <si>
    <t xml:space="preserve">
Կորոնավիրուսի (COVID-19) տնտեսական հետևանքների չեզոքացման  3-րդ միջոցառման շրջանակներում ՀՀ ԿԲ գերմանահայկական հիմնադրամին վարկավորում</t>
  </si>
  <si>
    <t>31.12.2024թ.</t>
  </si>
  <si>
    <t xml:space="preserve">
Կորոնավիրուսի (COVID-19) տնտեսական հետևանքների չեզոքացման  19-րդ միջոցառման շրջանակներում իրականացվող վարկավորում</t>
  </si>
  <si>
    <t>25.12.2028թ.</t>
  </si>
  <si>
    <t xml:space="preserve">
Կորոնավիրուսի (COVID-19) տնտեսական հետևանքների չեզոքացման  2-րդ միջոցառման շրջանակներում իրականացվող վարկավորում</t>
  </si>
  <si>
    <t xml:space="preserve">   ՀՀ կառավարության 26․03․2020թ․ 356-Լ որոշում, ՀՀ կառավարության 31․03․2020թ․ 416-Լ որոշում           Գործակալական պայմանագիր 16/120520-1</t>
  </si>
  <si>
    <t>07.05.2024թ.</t>
  </si>
  <si>
    <t xml:space="preserve">      ՀՀ կառավարության 26․03․2020թ․ 356-Լ որոշում, ՀՀ կառավարության 31․03․2020թ․ 416-Լ որոշում,          Գործակալական պայմանագիր 16/220420-1      </t>
  </si>
  <si>
    <t>30.04.2024թ.</t>
  </si>
  <si>
    <t>ՀՀ կառավարության 31․03․2020թ․ 416-Լ որոշում</t>
  </si>
  <si>
    <t>30.06.2022թ.</t>
  </si>
  <si>
    <t>2020 թվականի ընթացքում ՀՀ պետական բյուջեից կորոնավիրուսի (COVID-19) տնտեսական հետևանքների չեզոքացման  1-ին, 2-րդ, 3-րդ և 19-րդ միջոցառումների շրջանակներում տրամադրված բյուջետային աջակցություն</t>
  </si>
  <si>
    <t xml:space="preserve">25.12.2020թ. Փոխառության պայմանագիր Н420-20 ( ՀՀ կառավարության 27.05.2020թ.   854-Լ որոշում, ՀՀ կառավարության 02․07․2020թ․ 1094-Ն որոշում, ՀՀ կառավարության 27.07.2020թ. 1233-Ն որոշում)            </t>
  </si>
  <si>
    <t>Տ Ե Ղ Ե Կ Ա Ն Ք</t>
  </si>
  <si>
    <t>Հ/Հ</t>
  </si>
  <si>
    <t>Վարկառու</t>
  </si>
  <si>
    <t xml:space="preserve">Արտաքին պարտքի և ՀՀ պետական բյուջեի միջոցների հաշվին իրականացվող ծրագիր </t>
  </si>
  <si>
    <t>Վարկի աղբյուրը</t>
  </si>
  <si>
    <t>Արժույթը</t>
  </si>
  <si>
    <t>Ենթավարկի, բյուջետային վարկի, պայմանագրով փոխանցված պարտավորության նախատեսված գումարը</t>
  </si>
  <si>
    <t>Ենթավարկի, բյուջետային վարկի, պայմանագրով փոխանցված պարտավորության փաստացի  գումարը</t>
  </si>
  <si>
    <t>Ենթավարկի, բյուջետային վարկի տոկոսադրույքը</t>
  </si>
  <si>
    <t>Մարված վարկի հիմնական գումար</t>
  </si>
  <si>
    <t>Մարված տոկոսագումար</t>
  </si>
  <si>
    <t>Վարկի հիմնական գումարի մնացորդ</t>
  </si>
  <si>
    <t>Գրավի առարկան</t>
  </si>
  <si>
    <t>«Բարձրավոլտ էլեկտրացանցեր» ՓԲԸ</t>
  </si>
  <si>
    <t xml:space="preserve"> ««Գյումրի-2» ենթակայանի վերականգնում» I փուլ</t>
  </si>
  <si>
    <t>Գերմանիայի վերականգնվող վարկերի բանկ (KfW)</t>
  </si>
  <si>
    <t>30.06.2019թ.  - 30.06.2049թ.</t>
  </si>
  <si>
    <t>Եվրո</t>
  </si>
  <si>
    <t>0.75% և 0.25% պարտավճար</t>
  </si>
  <si>
    <t>Հասարակ մուրհաիկներ, ակտիվներ</t>
  </si>
  <si>
    <t xml:space="preserve"> ««Գյումրի-2» ենթակայանի վերականգնում» II փուլ</t>
  </si>
  <si>
    <t>30.12.2012թ. -30.06.2024թ.</t>
  </si>
  <si>
    <t>վերաֆինանսավորման դրույք + 1.25% (յուրաքանչյուր մասհանման համար սահմանված)</t>
  </si>
  <si>
    <t>Հասարակ մուրհակներ և յուրաքանչյուր տարվա դեկտեմբեր ամսվա դրությամբ ձեռք բերված ակտիվներ</t>
  </si>
  <si>
    <t>«Հոսանքահաղորդիչ համակարգի վերականգնում (Կամո և Վանաձոր-2 ենթակայաններ)»</t>
  </si>
  <si>
    <t>30.06.2009թ. - 30.12.2038թ.</t>
  </si>
  <si>
    <t xml:space="preserve">«Կովկասյան էլեկտրահաղորդման ցանց I (Հայաստան-Վրաստան հաղորդիչ գիծ/ենթակայաններ)» </t>
  </si>
  <si>
    <t>30.12.2019թ. -30.12.2029թ.</t>
  </si>
  <si>
    <t>1.85% և 0.25% պարտավճար</t>
  </si>
  <si>
    <t>30.06.2025թ. -30.12.2054թ.</t>
  </si>
  <si>
    <t>«Կովկասյան էլեկտրահաղորդման ցանց I (Հայաստան-Վրաստան հաղորդիչ գիծ/ենթակայաններ) (Փուլ 1 + Փուլ 2a)»</t>
  </si>
  <si>
    <t>Մասհանման ամսաթվից  մինչև 28 տարի (արտոնյալ ժամկետ՝ 5 տարի)</t>
  </si>
  <si>
    <t>փոփոխական</t>
  </si>
  <si>
    <t>Հասարակ մուրհակներ և յուրաքանչյուր տարվա դեկտեմբեր ամսվա դրությամբ ձեռք բերված ակտիվներ:  17.05.2005թ. կնքված գրավի պայմանագրով գրավադրված գույքը:</t>
  </si>
  <si>
    <t>«Կովկասյան էլեկտրահաղորդման ցանց III (Ծրագրի փուլ 2)» (Հայաստան-Վրաստան հաղորդիչ գիծ/ենթակայաններ)»</t>
  </si>
  <si>
    <t>30.12.2020թ. -30.12.2030թ.</t>
  </si>
  <si>
    <t>«Էլեկտրաէներգիայի մատակարարման հուսալիություն»</t>
  </si>
  <si>
    <t>Վերակառուցման և Զարգացման Միջազգային Բանկի (ՎԶՄԲ)</t>
  </si>
  <si>
    <t>15.11.2021թ. -15.05.2036թ.</t>
  </si>
  <si>
    <t>ԱՄՆ դոլար</t>
  </si>
  <si>
    <t>Հասարակ մուրհակներ</t>
  </si>
  <si>
    <t>««Էլեկտրաէներգիայի մատակարարման հուսալիություն» ծրագրի լրացուցիչ ֆինանսավորում»</t>
  </si>
  <si>
    <t>15.08.2024թ. -15.08.2039թ.</t>
  </si>
  <si>
    <t xml:space="preserve">«Էլեկտրահաղորդման ցանցի բարելավում ծրագիր» </t>
  </si>
  <si>
    <t>15.11.2039թ.</t>
  </si>
  <si>
    <t>«Երևանի ջերմաէլեկտրակենտրոն» ՓԲԸ</t>
  </si>
  <si>
    <t>«Էլեկտրաէներգիայի հաղորդման ցանցի վերակառուցում»</t>
  </si>
  <si>
    <t>Ասիական Զարգացման Բանկ (ԱԶԲ)</t>
  </si>
  <si>
    <t>15.11.2019թ. -15.05.2039թ.</t>
  </si>
  <si>
    <t>ՀՓԻ</t>
  </si>
  <si>
    <t>«Էլեկտրաէներգետիկական համակարգի օպերատոր» ՓԲԸ</t>
  </si>
  <si>
    <t xml:space="preserve">«էլեկտրահաղորդման և բաշխիչ համակարգեր»   N 3175 AM </t>
  </si>
  <si>
    <t>Զարգացման Միջազգային Ընկերակցություն (ՄԶԸ)</t>
  </si>
  <si>
    <t>05.06.2009թ. - 05.12.2033թ.</t>
  </si>
  <si>
    <t>05.12.2008թ. -05.12.2023թ.</t>
  </si>
  <si>
    <t>յուրաքանչյուր տարվա հունվարի 1-ի փոփոխական տոկոսադրույք +0.5%</t>
  </si>
  <si>
    <t>«Էլեկտրահաղորդման և բաշխիչ համակարգեր»</t>
  </si>
  <si>
    <t>Ճապոնիայի Անդրծովյան տնտեսական համագործակցության հիմնադրամ (JICA)</t>
  </si>
  <si>
    <t>10.02.2019թ. -10.02.2039թ.</t>
  </si>
  <si>
    <t>Ճապոնական իեն</t>
  </si>
  <si>
    <t>«Հայաստանի էլեկտրական ցանցեր» ՓԲԸ</t>
  </si>
  <si>
    <t>«Հայաստանի վերականգնվող էներգետիկայի և էներգախնայողության հիմնադրամ»</t>
  </si>
  <si>
    <t>«Քաղաքային ջեռուցման ծրագիր»</t>
  </si>
  <si>
    <t>10.11.2015թ. - 10.11.2045թ.</t>
  </si>
  <si>
    <t>Առանց գրավի</t>
  </si>
  <si>
    <t>«Միջազգային էներգետիկ կորպորացիա» ՓԲԸ</t>
  </si>
  <si>
    <t>«Էներգետիկայի բնագավառում անհապաղ օգնություն (Քանաքեռի հիդրոէլեկտրակայան)»</t>
  </si>
  <si>
    <t>25.11.2010թ. - 25.11.2041թ.</t>
  </si>
  <si>
    <t xml:space="preserve"> «ՔոնթուրԳլոբալ  Հիդրո Կասկադ» ՓԲԸ </t>
  </si>
  <si>
    <t xml:space="preserve">Որոտանի հիդրոէլեկտրակայանների համակարգի վերականգնման  </t>
  </si>
  <si>
    <t>30.12.2030թ.</t>
  </si>
  <si>
    <t>3.24% և 0.25% պարտավճար</t>
  </si>
  <si>
    <t>հասարակ անտոկոս մուրհակ</t>
  </si>
  <si>
    <t>30.06.2050թ.</t>
  </si>
  <si>
    <t>30.12.2031թ.</t>
  </si>
  <si>
    <t>4.12% և 0.25% պարտավճար</t>
  </si>
  <si>
    <t>«Երևան Ջերմաէլեկտրակենտրոն» ՓԲԸ</t>
  </si>
  <si>
    <t xml:space="preserve">«Երևանի համակցված շոգեգազային ցիկլով էլեկտրակայանի (էներգաբլոկի) նախագծի իրականացում» </t>
  </si>
  <si>
    <t>20.03.2015թ. -20.03.2045թ.</t>
  </si>
  <si>
    <t>հասարակ անտոկոս մուրհակ և Ընկերությանը պատկանող հողամասը և դրա վրա կառուցված շինությունները</t>
  </si>
  <si>
    <t>«Օժանդակություն էներգահամակարգին»</t>
  </si>
  <si>
    <t>Համաշխարհային բանկ</t>
  </si>
  <si>
    <t>17.12.2008թ. -17.12.2022թ.</t>
  </si>
  <si>
    <t>«Հայկական ատոմային էլեկտրոկայան» ՓԲԸ</t>
  </si>
  <si>
    <t>Ֆրանսիա</t>
  </si>
  <si>
    <t>10.12.2008թ. -30.12.2035թ.</t>
  </si>
  <si>
    <t xml:space="preserve">ՀՀ կառավարության 11.06.2020թ.  N 953-Ն որոշում </t>
  </si>
  <si>
    <t>25.06.2022թ. -25.06.2032թ.</t>
  </si>
  <si>
    <t xml:space="preserve">Հայաստանի Հանրապետության տարածքում ատոմային էլեկտրակայանի շահագործման ժամկետի երկարաձգման աշխատանքների ֆինանսավորման </t>
  </si>
  <si>
    <t xml:space="preserve">կայունացման դեպոզիտ հաշիվ </t>
  </si>
  <si>
    <t>10.01.2020թ. -10.07.2029թ.</t>
  </si>
  <si>
    <t xml:space="preserve">«Էներգետիկայի ոլորտի ֆինանսական առողջացում» </t>
  </si>
  <si>
    <t>15.11.2030թ. -15.11.2040թ.</t>
  </si>
  <si>
    <t>Հասարակ մուրհակներ, ՀԱԷԿ-ի սեփականություն հանդիսացող ակտիվները</t>
  </si>
  <si>
    <t>Հասարակ մուրհակներ, 11.07.2005թ. կնքված ենթավարկային համաձայնագրով ստանձնած պարտավորությունների ապահովման համար գրավադրված գույքը</t>
  </si>
  <si>
    <t>«Երքաղլույս» ՓԲԸ</t>
  </si>
  <si>
    <t>Երևանի քաղաքային լուսավորության ծրագիր</t>
  </si>
  <si>
    <t>16.10.2018թ. -16.04.2025թ.</t>
  </si>
  <si>
    <t xml:space="preserve">Ծրագիրն իրականացնողի կանոնադրությամբ նախատեսված Երևան քաղաքիարտաքին լուսավորության ցանցի շահագործման, հիմնանորագման և պահպանման ծրագրի իրականացման համար տրամադրվող ֆինանսական միջոցները </t>
  </si>
  <si>
    <t>«Նաիրիտ գործարան» ՓԲԸ*</t>
  </si>
  <si>
    <t xml:space="preserve">Պահանջի իրավունքի զիջման Համաձայնագիր
</t>
  </si>
  <si>
    <t>Պետական բյուջե</t>
  </si>
  <si>
    <t>01.07.2018թ.</t>
  </si>
  <si>
    <t>Ընդամենը ՀՀ Էներգետիկայի ոլորտում տրամադրված վարկեր</t>
  </si>
  <si>
    <t>«Կարեն Դեմերճյանի անվան Երևանի մետրոպոլիտեն» ՓԲԸ (ՎԶԵԲ I)</t>
  </si>
  <si>
    <t>«Երևանի մետրոպոլիտենի վերականգնում» I ծրագիր (ՎԶԵԲ)</t>
  </si>
  <si>
    <t>Վերակառուցման և Զարգացման Եվրոպական  Բանկ (ՎԶԵԲ)</t>
  </si>
  <si>
    <t>16.04.2013թ. - 16.10.2024թ.</t>
  </si>
  <si>
    <t>6-ամսյա Եվրոibor+1</t>
  </si>
  <si>
    <t>«Կարեն Դեմերճյանի անվան Երևանի մետրոպոլիտեն» ՓԲԸ (ՎԶԵԲ II)</t>
  </si>
  <si>
    <t>«Երևանի մետրոպոլիտենի վերականգնում» II ծրագիր (ՎԶԵԲ)</t>
  </si>
  <si>
    <t>16.10.2013թ. -16.04.2027թ.</t>
  </si>
  <si>
    <t>«Կարեն Դեմերճյանի անվան Երևանի մետրոպոլիտեն» ՓԲԸ (ԵՆԲ I)</t>
  </si>
  <si>
    <t>«Երևանի մետրոպոլիտենի վերականգնում» I ծրագիր (ԵՆԲ)</t>
  </si>
  <si>
    <t xml:space="preserve">Եվրոպական Ներդրումային Բանկի (ԵՆԲ) </t>
  </si>
  <si>
    <t>16.10.2015թ. - 16.04.2027թ.</t>
  </si>
  <si>
    <t>«Կարեն Դեմերճյանի անվան Երևանի մետրոպոլիտեն» ՓԲԸ  (ԵՆԲ II)</t>
  </si>
  <si>
    <t>«Երևանի մետրոպոլիտենի վերականգնում» II ծրագիր (ԵՆԲ)</t>
  </si>
  <si>
    <t>16.04.2019թ. -16.10.2033թ.</t>
  </si>
  <si>
    <t>Ընդամենը «Կարեն Դեմերճյանի անվան Երևանի մետրոպոլիտեն» ՓԲԸ տրամադրված վարկեր</t>
  </si>
  <si>
    <t>ՀՀ կենտրոնական բանկ</t>
  </si>
  <si>
    <t>Տնտեսության կայունացման վարկավորման ծրագիր</t>
  </si>
  <si>
    <t>15.12.2012թ. 15.06.2026թ.</t>
  </si>
  <si>
    <t>6-ամսյա Լibor+4%</t>
  </si>
  <si>
    <t>ՀՀ գյուղատնտեսության ոլորտի աջակցում</t>
  </si>
  <si>
    <t>30.06.2024</t>
  </si>
  <si>
    <t>«Ավանդների փոխհատուցումը երաշխավորող հիմնադրամ» ՓԲԸ</t>
  </si>
  <si>
    <t>«Հայաստանի Հանրապետության առևտրային բանկերում ֆիզիկական անձանց բանկային ավանդների հատուցումը երաշխավորող համակարգի ամրապնդում»</t>
  </si>
  <si>
    <t>25.12.2005թ. -25.06.2045թ.</t>
  </si>
  <si>
    <t>«Ակբա-Կրեդիտ Ագրիկոլ Բանկ» ՓԲԸ Հյուսիս Արևմտյան</t>
  </si>
  <si>
    <t>«Հյուսիս-Արևմտյան շրջանների գյուղատնտեսական ծառայությունների ծրագիր»</t>
  </si>
  <si>
    <t>ԳԶՄՀ</t>
  </si>
  <si>
    <t>01.06.2008թ. -01.12.2037թ.</t>
  </si>
  <si>
    <t>«Ակբա-Կրեդիտ Ագրիկոլ Բանկ» ՓԲԸ Գյուղատնտեսության ծառ.</t>
  </si>
  <si>
    <t>«Գյուղատնտեսական ծառայությունների ծրագիր»</t>
  </si>
  <si>
    <t>15.10.2011թ.-15.04.2041թ.</t>
  </si>
  <si>
    <t>Հայաստանում գյուղական տարածքների տնտեսական զարգացման հիմնադրամ (FREDA)</t>
  </si>
  <si>
    <t>08.01.2008թ. Հայաստանի Հանրապետության և Գյուղատնտեսության զարգացման միջազգային հիմնադրամի (ԳԶՄՀ) միջև կնքված «Շուկայավարման հնարավորություն ֆերմերներին» ծրագրի Ֆինանսավորման Համաձայնագիր</t>
  </si>
  <si>
    <t>25.01.2018-25.01.2047թ.թ.</t>
  </si>
  <si>
    <t>02.09.2015թ. Հայաստանի Հանրապետության և Գյուղատնտեսության զարգացման միջազգային հիմնադրամի (ԳԶՄՀ) միջև կնքված «Շուկայավարման հնարավորություն ֆերմերներին» ծրագրի Ֆինանսավորման Համաձայնագիր</t>
  </si>
  <si>
    <t>25.01.2025-25.01.2039թ.թ.</t>
  </si>
  <si>
    <t>Ընդամենը ՀՀ կենտրոնական բանկ, այլ բանկեր և վարկային կազմակերպություններին տրամադրված վարկեր</t>
  </si>
  <si>
    <t>«Վանաձորի բաղնիքային տնտեսություն»</t>
  </si>
  <si>
    <t>«Աղետի գոտու վերականգնում»</t>
  </si>
  <si>
    <t>01.11.2026թ.</t>
  </si>
  <si>
    <t>Վարկի հաշվին կառուցված գույքը</t>
  </si>
  <si>
    <t>«Երևանի քաղաքային նոր աղբավայր» ՓԲԸ</t>
  </si>
  <si>
    <t>Երևանի կոշտ թափոններ  (ՎԶԵԲ-ի ծրագիր)</t>
  </si>
  <si>
    <t>16.04.2018թ. -16.10.2029թ.</t>
  </si>
  <si>
    <t>Ծրագրի շրջանակներում ձեռք բերվող ակտիվները</t>
  </si>
  <si>
    <t>Երևանի կոշտ թափոններ  (ԵՆԲ-ի ծրագիր)</t>
  </si>
  <si>
    <t xml:space="preserve">«Կոտայքի և Գեղարքունիքի ԿԿԹԿ» ՍՊԸ </t>
  </si>
  <si>
    <t>«Հայաստանի վերականգնվող էներգետիկայի հիմնադրամ</t>
  </si>
  <si>
    <t>Գյուղական կարողությունների ստեղծման ծրագրի համաֆինանսավորում</t>
  </si>
  <si>
    <t>25.12.2012թ. -31.12.2022թ.</t>
  </si>
  <si>
    <t>«Ռադիոիզոտոպների արտադրության կենտրոն» ՓԲԸ</t>
  </si>
  <si>
    <t xml:space="preserve">Լիբոր+4 </t>
  </si>
  <si>
    <t>«Ավտոմատիկա» ՓԲԸ</t>
  </si>
  <si>
    <t>15.12.2020թ.</t>
  </si>
  <si>
    <t>ք. Երևան, Թևոսյան 3/1 հասցեում գտնվող անշարժ գույք</t>
  </si>
  <si>
    <t>«Բերրիություն ԱՄ-ի Մասիսի շրջանային միավորում» ՍՊԸ*</t>
  </si>
  <si>
    <t>Գյուղատնտեսության վարկավորման ծրագիր</t>
  </si>
  <si>
    <t>20.12.2016թ.</t>
  </si>
  <si>
    <t>ԳՖԿ ԾԻԳ (Գյուղատնտեսական տարածքների տնտեսական զարգացում ԳՏՏԶ) IFAD</t>
  </si>
  <si>
    <t>01.06.2015թ. 01.06.2044թ.</t>
  </si>
  <si>
    <t>ԳՖԿ ԾԻԳ (Գյուղական ձեռնարկությունների և փոքրածավալ առևտրային գյուղատնտեսության զարգացման ծրագիր ԳՁՓԱԳԶԾ) IDA</t>
  </si>
  <si>
    <t>15.12.2015թ. 15.06.2045թ.</t>
  </si>
  <si>
    <t xml:space="preserve">Շուկայական հնարավորություններ ֆերմերներին ծրագիր (ՇՀՖ) </t>
  </si>
  <si>
    <t>04.02.2018թ. 04.08.2057թ.</t>
  </si>
  <si>
    <t>«Դարդան» ՍՊԸ</t>
  </si>
  <si>
    <t>Համաշխարհային բանկի հաշվին ապրանքային վարկ</t>
  </si>
  <si>
    <t>31.07.2021թ.</t>
  </si>
  <si>
    <t>1. ՀՀ  Արմավիրի մարզ,  գ.Նորակերտ, Նորակերտի խճուղի 10 (վարչական շենք և այլ շինություններ), քաղ. Երևան, Աճառյան փողոց  42բ (կաթսայատան վերնահարկ, պահեստ և այլ շինություններ), շինարարական և այլ տրանսպորտային միջոցներ</t>
  </si>
  <si>
    <t>«Համո Բեկնազարյանի անվան «Հայֆիլմ» կինոստուդիա» ՓԲԸ</t>
  </si>
  <si>
    <t xml:space="preserve">Պահանջի իրավունքի զիջման համաձայնագիր
</t>
  </si>
  <si>
    <t>24.12.2025թ.</t>
  </si>
  <si>
    <t>«Դի Էնդ Էյջ Գրուպ»  ՍՊԸ</t>
  </si>
  <si>
    <t>Տնտեսության վարկավորման ծրագիր</t>
  </si>
  <si>
    <t>կայունացման դեպոզիտ հաշիվ (եվրոբոնդ)</t>
  </si>
  <si>
    <t>10.12.2024թ.-10.12.2026թ.</t>
  </si>
  <si>
    <t>2% մինչև 31/12/2023, 01/01/2024-ից- 8%</t>
  </si>
  <si>
    <t xml:space="preserve"> ՀՀ ք. Երևան, Փ. Բյուզանդի 15 հասցեում գտնվող հյուրանոցային համալիրը</t>
  </si>
  <si>
    <t>28.06.2027թ.</t>
  </si>
  <si>
    <t>2% մինչև 31/12/2023, 01/01/2024-ից - 10.4%</t>
  </si>
  <si>
    <t>Կանոնադրական կապիտալում սեփ. իրավունքով պատկանող բաժնեմասերը, ՀՀ ք. Երևան, Փ. Բյուզանդի 15 հասցեում գտնվող հյուրանոցային համալիրը</t>
  </si>
  <si>
    <t>Ընդամենը տնտեսության վարկավորման համար տարբեր կազմակերպություններին և ընկերություններին տրամադրված վարկեր</t>
  </si>
  <si>
    <t>04.06.2022թ.</t>
  </si>
  <si>
    <t>սկսած 2022թ-ից 12%</t>
  </si>
  <si>
    <t>31.03.2025թ.</t>
  </si>
  <si>
    <t xml:space="preserve">Ընդամենը Կորոնավիրուսի (COVID-19) տնտեսական հետևանքների չեզոքացման հետ կապված </t>
  </si>
  <si>
    <t xml:space="preserve">«ԱԱԲ Պրոեկտ» ՍՊԸ </t>
  </si>
  <si>
    <t xml:space="preserve">«Կորսան Կորվիամ Կոնստրուկսինո» ԲԸ-ի կողմից չվճարված դրամական պահանջներ ունեցող ՀՀ կազմակերպություններին տրամադրվող բյուջետային վարկեր
</t>
  </si>
  <si>
    <t>15.06.2022-15.06.2025թթ.</t>
  </si>
  <si>
    <t>ՀՀ, Կոտայքի մարզ, Արամուսի բազալտի հանքավայրի արդյունահանման Արմենիուս տեղամասը հասցեում գտնվող հողամասի նկատմամբ ընդերքօգտագործման իրավունքը</t>
  </si>
  <si>
    <t>«Շին Թրեյդ» ՍՊԸ</t>
  </si>
  <si>
    <t>10.06.2022-10.06.2025թթ.</t>
  </si>
  <si>
    <t>ք. Երևան, Դավթաշեն 10-րդ փողոց 2/7 բնակելի տուն հասցեում գտնվող 517,54  քմ և 0.096578 հա մակերեսով հողամասը</t>
  </si>
  <si>
    <t>«ՄԼ Մայնինգ» ՍՊԸ</t>
  </si>
  <si>
    <t xml:space="preserve">   Մայր գումար՝                   15.06.2022 -15.06.2025                              Տոկոսագումար՝                 15.09.2020 -15.06.2025 </t>
  </si>
  <si>
    <t>IVECO TRAKKER 450 մակնիշի բեռնատար ինքնաթափ (2 հատ), MAN TGA-41 մակնիշի բեռնատար ինքնաթափ  (3 հատ)</t>
  </si>
  <si>
    <t>«Ժակշին» ՍՊԸ</t>
  </si>
  <si>
    <t xml:space="preserve">   Մայր գումար՝                   25.06.2022 -25.06.2025                              Տոկոսագումար՝                 25.09.2020 -25.06.2025</t>
  </si>
  <si>
    <t>Շինտեխնիկա` KAMAZ.
SINOTRUK 2011- 2 հատ</t>
  </si>
  <si>
    <t>«Բիզնես Ալտերնատիվ» ՍՊԸ</t>
  </si>
  <si>
    <t xml:space="preserve">   Մայր գումար՝                   10.06.2022 -10.06.2025                              Տոկոսագումար՝                 10.09.2020 -10.06.2025  </t>
  </si>
  <si>
    <t>Շինտեխնիկա՝ YARI ROMORK T-MAX</t>
  </si>
  <si>
    <t>«Քեյ դի Էյջ» ՍՊԸ</t>
  </si>
  <si>
    <t>Ավտոմեքենա՝ MERCEDES-BENZ E35O</t>
  </si>
  <si>
    <t>«Ռաֆայել» ՍՊԸ</t>
  </si>
  <si>
    <t xml:space="preserve">   Մայր գումար՝                   10.07.2022 -10.07.2025                              Տոկոսագումար՝                 10.10.2020 -10.07.2025</t>
  </si>
  <si>
    <t>Վիբրացիոն գլդոն և հողամաս</t>
  </si>
  <si>
    <t>«Միրադա» ՍՊԸ</t>
  </si>
  <si>
    <t xml:space="preserve">   Մայր գումար՝                   25.06.2022 -25.06.2025                              Տոկոսագումար՝                 25.09.2020 -25.06.2025    </t>
  </si>
  <si>
    <t xml:space="preserve">ք. Երևան,  Քրիստափորի փողոց 1/3 տարածք հասարակական նշանակության շինություն </t>
  </si>
  <si>
    <t>Մայր գումար՝                   15.07.2022 -15.07.2025                              Տոկոսագումար՝                 15.10.2020 -15.07.2025</t>
  </si>
  <si>
    <t>«Ավետիք Սարգսյան» ԱՁ</t>
  </si>
  <si>
    <t>Կռազ-ցիստեռն</t>
  </si>
  <si>
    <t>«Նաիրիի ՃՇՇ» ԲԲԸ</t>
  </si>
  <si>
    <t xml:space="preserve">  Մայր գումար՝                   25.06.2022 -25.06.2025                              Տոկոսագումար՝                 25.09.2020 -25.06.2025 </t>
  </si>
  <si>
    <t>Շինտեխնիկա՝ZIL MMZ-45021 2 հատ
ԳՐԵՅԴԵՐ 2 հատ</t>
  </si>
  <si>
    <t>«Կամուրջշին» ՓԲԸ</t>
  </si>
  <si>
    <t xml:space="preserve"> Մայր գումար՝                   15.07.2022 -15.07.2025                              Տոկոսագումար՝                 15.10.2020 -15.07.2025</t>
  </si>
  <si>
    <t>Սարքավորումներ և շինտեխնիկա, մեքենաներ</t>
  </si>
  <si>
    <t>«Կամա» ՍՊԸ</t>
  </si>
  <si>
    <t xml:space="preserve">   Մայր գումար՝                   10.07.2022 -10.07.2025                              Տոկոսագումար՝                 10.10.2020 -10.07.2025 </t>
  </si>
  <si>
    <t>2 հատ SHACMAN տեսակի շինտեխնիկա</t>
  </si>
  <si>
    <t>«Ինքնաթափ» ՍՊԸ</t>
  </si>
  <si>
    <t xml:space="preserve">   Մայր գումար՝                   30.07.2022 -30.07.2025                              Տոկոսագումար՝                 30.10.2020 -30.07.2026</t>
  </si>
  <si>
    <t>CAT մակնիշի ինքնաթափ, hողամաս, TOYOTA</t>
  </si>
  <si>
    <t>«Արարատ Թորոսյան» ԱՁ</t>
  </si>
  <si>
    <t>2 հողամաս</t>
  </si>
  <si>
    <t>«Էս ընդ Եյ Մայնինգ» ՍՊԸ</t>
  </si>
  <si>
    <t xml:space="preserve">   Մայր գումար՝                   25.08.2022 -25.08.2025                              Տոկոսագումար՝                 25.11.2020 -25.09.2025</t>
  </si>
  <si>
    <t xml:space="preserve"> Շին.տեխնիկա` 11 հատ</t>
  </si>
  <si>
    <t>«Ապառաժ» ՍՊԸ</t>
  </si>
  <si>
    <t>Շինտեխնիկա և ավտոմեքենա՝ 2 հատ</t>
  </si>
  <si>
    <t>«Տնա-Շին Աշոտ» ՍՊԸ</t>
  </si>
  <si>
    <t xml:space="preserve"> Մայր գումար՝                   25.09.2022 -25.09.2025                              Տոկոսագումար՝                 25.12.2020 -25.09.2025</t>
  </si>
  <si>
    <t>5 հատ SCANIA &lt;Քաջ Տրանս&gt; ՍՊԸ-ի</t>
  </si>
  <si>
    <t>«Դենտալ Իմպորտ» ՍՊԸ</t>
  </si>
  <si>
    <t>Մայր գումար՝                   20.11.2022 -20.11.2025                              Տոկոսագումար՝                 20.02.2021 -20.11.2025</t>
  </si>
  <si>
    <t>թվով 21 շինարարական տեխնիկա</t>
  </si>
  <si>
    <t>«Սուարդի» ԲԸ Հ/Մ</t>
  </si>
  <si>
    <t>Մայր գումար՝                   05.11.2022 -05.11.2025                              Տոկոսագումար՝                 05.02.2021 -05.11.2025</t>
  </si>
  <si>
    <t>11 հատ տրանսպորտային միջոց և 19 հատ շին.տեխնիկա</t>
  </si>
  <si>
    <t>&lt;&lt;Աննա Ավետիսյան&gt;&gt;ԱՁ</t>
  </si>
  <si>
    <t>2 հատ վերամբարձ մեքենա և ասֆալտ փռող մեքենա</t>
  </si>
  <si>
    <t>«Քաջ-Տրանս» ՍՊԸ</t>
  </si>
  <si>
    <t xml:space="preserve">Մայր գումար՝                   15.12.2022 -15.12.2025                              Տոկոսագումար՝                 15.03.2021 -15.12.2025 </t>
  </si>
  <si>
    <t>1 հատ SCANIA</t>
  </si>
  <si>
    <t>Ընդամենը տրամադրված վարկերի և ենթավարկերի կառուցվածքը ըստ իրենց արժույթների</t>
  </si>
  <si>
    <t>Արցախի Հանրապետության կառավարություն</t>
  </si>
  <si>
    <t>Միջպետական վարկ</t>
  </si>
  <si>
    <t>2025թ.</t>
  </si>
  <si>
    <t>Կոտայքի և Գեղարքունիքի մարզերի կոշտ թափոնների կառավարման ծրագիր</t>
  </si>
  <si>
    <t>25.06.2023թ. -25.06.2033թ.</t>
  </si>
  <si>
    <t>16.10.2021թ. -16.10.2033թ.</t>
  </si>
  <si>
    <t>15.11.2012թ. Անշարժ Գույքի Գրավի Պայամանգրի համաձայն` («Պետական գույքի գույքագրման և գնահատման գործակալություն» ՊՈԱԿ-ի կողմից 07.06.2012թ. կազմված գնահատման հաշվետվության համաձայն գրավի առարկայի շուկայական արժեքը 2012թ. գնահատման ժամանակահատվածի դրությամբ կազմել է 280,511,000 ՀՀ դրամ, կադաստրային արժեքը` համաձայն ՀՀ կառավարությանն առընթեր անշարժ գույքի կադաստրի պետական կոմիտեի 14.11.2012թ. N ԱՏ-12/11/2012-1-0280 տեղեկանքի կազմում է հա 14,646,180 ՀՀ դրամ) Աջափնյակ Հալաբյան փողոց թիվ 38/7 հասցեում գտնվող հողատարածքը (1.34999 հա -0.9225=0.42749 հա), ապագայում կառուցվելիք անշարժ գույքը  և «ԱյԲիԷյ մոլեկուլյար» կազմակերպությունից ձեռք բերվելիք «Ցիկլոն 18/18» ցիկլոտրոնը,ինչպես նաև ապագայում ձեռք բերվելիք սարքավորումները` դրանց արժեքը կանոնադրական կապիտալ ներդրումից հետո: Հայաստանի Հանրապետության առողջապահության նախարարին` Հայաստանի Հանրապետության օրենսդրությամբ սահմանված կարգով ապահովել ընկերության կանոնադրական կապիտալի ավելացումը՝ սարքավորումների ձեռքբերման և մոնտաժման աշխա¬¬տանքների արժեքի չափով, լրացուցիչ բաժնետոմսեր տեղաբաշխելու միջոցով</t>
  </si>
  <si>
    <t xml:space="preserve">ՀՀ կառավարության 14.10.2021թ.  N 1688-Ն որոշում </t>
  </si>
  <si>
    <t>25.12.2023թ. -25.06.2033թ.</t>
  </si>
  <si>
    <t xml:space="preserve">Տեղեկանք </t>
  </si>
  <si>
    <t>Պրինցիպալը</t>
  </si>
  <si>
    <t>Բենեֆիցարը</t>
  </si>
  <si>
    <t>Երաշխիքի մարման ամսաթիվը</t>
  </si>
  <si>
    <t>Երաշխիքի գումարը /դրամ/</t>
  </si>
  <si>
    <t>«ԱՐՄՍՎԻՍԲԱՆԿ» ՓԲԸ</t>
  </si>
  <si>
    <t>«ՀԱՅԷԿՈՆՈՄԲԱՆԿ» ԲԲԸ</t>
  </si>
  <si>
    <t>15.10.2023թ.</t>
  </si>
  <si>
    <t>Ընդամենը</t>
  </si>
  <si>
    <t>22.10.2023թ.</t>
  </si>
  <si>
    <t>01.11.2023թ.</t>
  </si>
  <si>
    <t>Գերմանիա (KfW)</t>
  </si>
  <si>
    <t xml:space="preserve">ՀՀ կառավարության 25.03.2021թ.  N 415-Ն որոշում </t>
  </si>
  <si>
    <t>1.404%                   1.056%</t>
  </si>
  <si>
    <t>KFW</t>
  </si>
  <si>
    <t>16.04.2023թ.  16.10.2030թ.</t>
  </si>
  <si>
    <t>«ՇԱՏՈ-ԱՌՆՈ» ՍՊԸ</t>
  </si>
  <si>
    <t>«ՀԱՅԱՍՏԱՆԻ ԶԱՐԳԱՑՄԱՆ և ՆԵՐԴՐՈՒՄՆԵՐԻ» ԿՈՐՊՈՐԱՑԻԱ ՈՒՎԿ ՓԲԸ</t>
  </si>
  <si>
    <t>09.11.2023թ.</t>
  </si>
  <si>
    <t>15.11.2023թ.</t>
  </si>
  <si>
    <t>29.11.2023թ.</t>
  </si>
  <si>
    <t>13.12.2023թ.</t>
  </si>
  <si>
    <t>Երաշխիքի գծով պարտավորության մնացորդ /դրամ/</t>
  </si>
  <si>
    <t>&lt;&lt; Երևանի  ավտոբուս&gt;&gt; ՓԲԸ</t>
  </si>
  <si>
    <t>Երևանի քաղաքային ավտոբուսներ ծրագիր</t>
  </si>
  <si>
    <t>ՎԶԵԲ</t>
  </si>
  <si>
    <t>16.04.2025թ.-16.10.2036թ.</t>
  </si>
  <si>
    <t>SOFR</t>
  </si>
  <si>
    <t>Գրավի առարկան հանդիսանալու է ձեռք վբերված հիմանկան միջոցները</t>
  </si>
  <si>
    <t>Ենթավարկի, բյուջետային վարկի, պայմանագրով հանձնված պարտավորության մարման ժամկետը</t>
  </si>
  <si>
    <t>01.07.2023-20.05.2033թ.թ.</t>
  </si>
  <si>
    <t>10.06.2023-08.11.2031թ.թ.</t>
  </si>
  <si>
    <t>10.06.2023-19.03.2033թ.թ.</t>
  </si>
  <si>
    <t>10.06.2023-03.09.2029թ.թ.</t>
  </si>
  <si>
    <t>Գյուղատնտեսության Զարգացման Միջազգային Հիմնադրամ</t>
  </si>
  <si>
    <t>Ենթակառուցվածքների և գյուղական ֆինանսավորման աջակցություն</t>
  </si>
  <si>
    <t>30.06.2025թ. 31.12.2044թ.</t>
  </si>
  <si>
    <t>Ենթավարկային պայմանագրի կնքման ամսաթիվը և համարը</t>
  </si>
  <si>
    <t>07.10.2009թ.</t>
  </si>
  <si>
    <t>25.06.1999թ.</t>
  </si>
  <si>
    <t>13.03.2015թ.</t>
  </si>
  <si>
    <t>12.03.2016թ.</t>
  </si>
  <si>
    <t>27.05.2016թ.</t>
  </si>
  <si>
    <t>18.11.2011թ.</t>
  </si>
  <si>
    <t>02.02.2015թ.</t>
  </si>
  <si>
    <t>11.08.2015թ.</t>
  </si>
  <si>
    <t>14.08.2015թ.</t>
  </si>
  <si>
    <t>06.02.2015թ.</t>
  </si>
  <si>
    <t>30.11.1999թ.</t>
  </si>
  <si>
    <t>12.05.2005թ.</t>
  </si>
  <si>
    <t>04.05.2007թ.</t>
  </si>
  <si>
    <t>12.07.2004թ.</t>
  </si>
  <si>
    <t>30.07.2012թ.</t>
  </si>
  <si>
    <t>21.06.2010թ.</t>
  </si>
  <si>
    <t>20.12.16թ. Ենթավարկային պայմանագիր</t>
  </si>
  <si>
    <t>11.07.2005թ.</t>
  </si>
  <si>
    <t xml:space="preserve">16.02.2004թ.  N4(48)/CP-2004 </t>
  </si>
  <si>
    <t xml:space="preserve"> 24.02.2004թ. N 1(01)CP-2004 վարկային պայմանագիր</t>
  </si>
  <si>
    <t>10.07.2020թ. N 8/20 վարկային պայմանագիր</t>
  </si>
  <si>
    <t>20.10.2021թ. N 10/21 վարկային պայմանագիր</t>
  </si>
  <si>
    <t>22.06.2015թ.  N 6/2015</t>
  </si>
  <si>
    <t>22.06.2016թ.</t>
  </si>
  <si>
    <t>14.06.2016թ.</t>
  </si>
  <si>
    <t>13.07.2010թ.</t>
  </si>
  <si>
    <t>30.05.2013թ.</t>
  </si>
  <si>
    <t>03.05.2011թ.</t>
  </si>
  <si>
    <t>09.02.2015թ.</t>
  </si>
  <si>
    <t xml:space="preserve">08.07.2009թ. Ֆինանսական գործակալության պայմանգիր և 21.02.11թ. Համաձայնագիր </t>
  </si>
  <si>
    <t>12.12.2012թ. Ֆինանսական գործակալության պայմանգիր KFW- AGRO</t>
  </si>
  <si>
    <t>28.07.2005թ. Ենթավարկային պայմանագիր</t>
  </si>
  <si>
    <t>13.01.1998թ. Սուբսիդավորմամբ ֆինանսավորման պայմանագիր</t>
  </si>
  <si>
    <t>11.01.2002թ.ՀԳՓԲ սուբսիդավորման համաձայնագիր</t>
  </si>
  <si>
    <t>28.07.2009թ.</t>
  </si>
  <si>
    <t>02.09.2015թ.</t>
  </si>
  <si>
    <t>05.05.2006         թիվ 1/2006</t>
  </si>
  <si>
    <t>22.12.2017թ.</t>
  </si>
  <si>
    <t>29.12.2017թ.</t>
  </si>
  <si>
    <t>15.02.2018թ.</t>
  </si>
  <si>
    <t xml:space="preserve">15.11.2012թ. </t>
  </si>
  <si>
    <t xml:space="preserve">03.02.2016թ. կնքված </t>
  </si>
  <si>
    <t>09.07.2011թ.  N 1/2011</t>
  </si>
  <si>
    <t>08.11.2012թ.  N 6/2012</t>
  </si>
  <si>
    <t>19.03.2014թ.  N 3/2014</t>
  </si>
  <si>
    <t>03.09.2015թ.   N 3/2015</t>
  </si>
  <si>
    <t>28.12.2015թ. N 11/2015</t>
  </si>
  <si>
    <t>05.02.2016թ.  N 2/2016</t>
  </si>
  <si>
    <t>ՀՀ և Զարգացման միջազգային ընկերակցության միջև 28.01.2005թ. կնքված N 653-AM փոխառության համաձայնագիր</t>
  </si>
  <si>
    <t>ՀՀ և Զարգացման միջազգային ընկերակցության միջև 20.07.2005թ. կնքված N 4095-AM փոխառության համաձայնագիր</t>
  </si>
  <si>
    <t>Հայաստանի Հանրապետության (ԳՖԿ ԾԻԳ ՊՀ) կողմից օգտագործված փոխառությունների համաձայնագիր</t>
  </si>
  <si>
    <t xml:space="preserve"> ԳԶՄՀ միջև  12.11.2014թ-ին կնքված &lt;&lt;Ենթակառուցվածքների և գյուղական ֆինանսավորման աջակցություն&gt;&gt;  համաձայնագիր</t>
  </si>
  <si>
    <t>07.04.2010թ. N 01 կնքված պահանջի իրավունքի զիջման մասին պայմանագիր, 27.12.2017թ. կնքված պայմանագրի փոփոխություն` Համաձայնագիր N 1, 17.04.2019թ. կնքված պայմանագրի փոփոխություն` Համաձայնագիր N 2, 09.04.2021թ. Կնքված հաշտության համաձայնագիր</t>
  </si>
  <si>
    <t>ՀՀ և Վերակառուցման և Զարգացման Եվրոպական Բանկի միջև 24.11.2021թ. կնքված Համաձայնագիր, 04.07.2022թ. Կնքված իրականացման համաձայնագիր</t>
  </si>
  <si>
    <t xml:space="preserve">29.12.2015թ. </t>
  </si>
  <si>
    <t>06.10.11թ. Պարտքի մարման համաձայնագիր</t>
  </si>
  <si>
    <t>29.09.2015թ N6/2015</t>
  </si>
  <si>
    <t>Պահանջի իրավունքի զիջման պայմանագիր 27.12.2016թ.</t>
  </si>
  <si>
    <t>31.03.2020թ
16/310320-1 ֆինանսական գործակալության պայմանագիր, 02.06.2020թ. Փոփոխություններ և լրացումներ կատարելու մասին համաձայնագիր</t>
  </si>
  <si>
    <t xml:space="preserve">25.12.2020թ. Փոխառության պայմանագիր Н420-20 ( ՀՀ կառավարության 27.05.202թ.   854-Լ որոշում, ՀՀ կառավարության 02․07․2020թ․ 1094-Ն որոշում, ՀՀ կառավարության 27.07.2020թ. 1233-Ն որոշում)            </t>
  </si>
  <si>
    <t xml:space="preserve">ՀՀ կառավարության 09.04.2020թ. թիվ 727-Ն որոշում                 </t>
  </si>
  <si>
    <t xml:space="preserve">ՀՀ կառավարության 09.04.2020թ. թիվ 727-Ն որոշում                        </t>
  </si>
  <si>
    <t xml:space="preserve">ՀՀ կառավարության 09.04.2020թ. թիվ 727-Ն որոշում                         </t>
  </si>
  <si>
    <t>ՀՀ կառավարության 09.04.2020թ. թիվ 727-Ն որոշում</t>
  </si>
  <si>
    <t>1993-2020թթ</t>
  </si>
  <si>
    <t>«ԻՆԵԿՈԲԱՆԿ» ՓԲԸ</t>
  </si>
  <si>
    <t>«ԻՋԵՎԱՆԻ ԳԻՆՈՒ, ԿՈՆՅԱԿԻ ԳՈՐԾԱՐԱՆ» ՓԲԸ</t>
  </si>
  <si>
    <t>12.12.2024թ.</t>
  </si>
  <si>
    <t>«Կորսան Կորվիամ Կոնստրուկսինո» ԲԸ-ի  հետ կապված և այլ վարկեր</t>
  </si>
  <si>
    <t xml:space="preserve">«ԵՐԵՎԱՆԻ ՇՈԿՈԼԱԴԻ ԳՈՐԾԱՐԱՆ» ՓԲԸ 
</t>
  </si>
  <si>
    <t>«ԱԿԲԱ ԲԱՆԿ» ԲԲԸ</t>
  </si>
  <si>
    <t>13.01.2024թ.</t>
  </si>
  <si>
    <t>24.01.2026թ.</t>
  </si>
  <si>
    <t>Sofr+ փոփոխական մարժա</t>
  </si>
  <si>
    <t>Sofr + փոփոխական մարժա և 0.25% պարտավճար</t>
  </si>
  <si>
    <t>30.12.2023թ.</t>
  </si>
  <si>
    <t xml:space="preserve">      ՀՀ կառավարության 26․03․2020թ․ 356-Լ որոշում, ՀՀ կառավարության 25․03․2020թ․ 417-Լ որոշում,          Գործակալական պայմանագիր 16.1/050421-1      </t>
  </si>
  <si>
    <t>«ՊՌՈՇՅԱՆԻ ԿՈՆՅԱԿԻ ԳՈՐԾԱՐԱՆ» ՍՊԸ</t>
  </si>
  <si>
    <t>«ԵՐԱՍԽԻ ԳԻՆՈՒ ԳՈՐԾԱՐԱՆ» ՍՊԸ</t>
  </si>
  <si>
    <t>«ՄԱՊ» ՓԲԸ</t>
  </si>
  <si>
    <t>«ԱՐԱՐԱՏԻ ԳԻՆՈՒ ԳՈՐԾԱՐԱՆ» ՍՊԸ</t>
  </si>
  <si>
    <t>«ԷՎՈԿԱԲԱՆԿ» ՓԲԸ</t>
  </si>
  <si>
    <t>«ԱՐԴՇԻՆԲԱՆԿ» ԲԲԸ</t>
  </si>
  <si>
    <t>28.02.2026թ.</t>
  </si>
  <si>
    <t>01.0.2026թ.</t>
  </si>
  <si>
    <t>02.03.2026թ.</t>
  </si>
  <si>
    <t>ՀՀ կառավարության գործող երաշխիքները</t>
  </si>
  <si>
    <t>The existing guarantees of the Government of RA</t>
  </si>
  <si>
    <t>Действующие гарантии Правительства РА</t>
  </si>
  <si>
    <t>ՆԵՐՔԻՆ ԵՐԱՇԽԻՔՆԵՐ</t>
  </si>
  <si>
    <t>DOMESTIC GUARANTEES</t>
  </si>
  <si>
    <t>ВНУТРЕННИЕ ГАРАНТИИ</t>
  </si>
  <si>
    <t>այդ թվում՝</t>
  </si>
  <si>
    <t xml:space="preserve">  of which</t>
  </si>
  <si>
    <t xml:space="preserve">       в том числе</t>
  </si>
  <si>
    <t>«ԱՐՏԱՇԱՏ-ՎԻՆԿՈՆ» ՓԲԸ</t>
  </si>
  <si>
    <t>"ARTASHAT-VINCON" CJSC</t>
  </si>
  <si>
    <t>"ArmSwissBank" CJSC</t>
  </si>
  <si>
    <t>«АРТАШАТ-ВИНКОН» ЗАО</t>
  </si>
  <si>
    <t>«Армсвиссбанк» ЗАО</t>
  </si>
  <si>
    <t>"YERASKH WINE FACTORY" LLC</t>
  </si>
  <si>
    <t>«ЕРАСХСКИЙ ВИННЫЙ ЗАВОД» ООО</t>
  </si>
  <si>
    <t>«ԳԵՏԱՓԻ ԳԻՆՈՒ ԿՈՆՅԱԿԻ ԳՈՐԾԱՐԱՆ» ՍՊԸ</t>
  </si>
  <si>
    <t>"GETAP WINE AND BRANDY FACTORY" LLC</t>
  </si>
  <si>
    <t>«ГЕТАПСКИЙ ВИННОКОНЬЯЧНЫЙ ЗАВОД» ООО</t>
  </si>
  <si>
    <t>"VEDI ALCO" CJSC</t>
  </si>
  <si>
    <t>«ВЕДИ АЛКО» ЗАО</t>
  </si>
  <si>
    <t>"SHATO ARNO" LLC</t>
  </si>
  <si>
    <t>"Development And Investments Corporation of Armenia" CJSC</t>
  </si>
  <si>
    <t>«ШАТО АРНО» ООО</t>
  </si>
  <si>
    <t>«Корпорация развития и инвестиций Армении» ЗАО</t>
  </si>
  <si>
    <t>«ԱՍՏԱՖՅԱՆ ՀՈԼԴԻՆԳ» ՍՊԸ</t>
  </si>
  <si>
    <t>"ASTAFYAN HOLDING" LLC</t>
  </si>
  <si>
    <t>«АСТАФЯН ХОЛДИНГ» ООО</t>
  </si>
  <si>
    <t>"PROSHYAN BRANDY FACTORY" LLC</t>
  </si>
  <si>
    <t>"Armeconombank" OJSC</t>
  </si>
  <si>
    <t>«ПРОШЯНСКИЙ КОНЬЯЧНЫЙ ЗАВОД» ООО</t>
  </si>
  <si>
    <t>«Армэкономбанк» ОАО</t>
  </si>
  <si>
    <t>"IJEYAN WINE AND BRANDY FACTORY" CJSC</t>
  </si>
  <si>
    <t>"Inecobank" CJSC</t>
  </si>
  <si>
    <t>«ИДЖЕВАНСКИЙ ВИННОКОНЬЯЧНЫЙ ЗАВОД» ЗАО</t>
  </si>
  <si>
    <t>«Инекобанк» ЗАО</t>
  </si>
  <si>
    <t>"YEREVAN CHOCOLATE COMPANY" CJSC</t>
  </si>
  <si>
    <t>Ереванская шоколадная компания</t>
  </si>
  <si>
    <t>"ARARAT WINE FACTORY CO.LTD</t>
  </si>
  <si>
    <t>"ACBA BANK" OJSC</t>
  </si>
  <si>
    <t>«Араратский  винный  завод» ООО</t>
  </si>
  <si>
    <t>"Акба банк" ОАО</t>
  </si>
  <si>
    <t>"MAP" COMPANY</t>
  </si>
  <si>
    <t>"Evocabank" CJSC</t>
  </si>
  <si>
    <t>«МАП»  ЗАО</t>
  </si>
  <si>
    <t>«Эвокабанк» ЗАО</t>
  </si>
  <si>
    <t>"Ardshinbank" CJSC</t>
  </si>
  <si>
    <t>«Ардшинбанк» ЗАО</t>
  </si>
  <si>
    <t>ՀՀ կառավարության կողմից երաշխիքների սպասարկման գծով կատարված վճարումներ՝ պայմանավորված պրինցիպալի կողմից իր վճարային պարտավորությունների չկատարմամբ</t>
  </si>
  <si>
    <t>Payments made by the Government of the Republic of Armenia on guarantees' servicing, due to default on payment obligations by the principal</t>
  </si>
  <si>
    <t>Платежи, осуществленные Правительством Республики Армения по обслуживанию предоставленных гарантий, обусловленные невыполнением своих платежных обязательств принципалом</t>
  </si>
  <si>
    <t xml:space="preserve">ՀՀ պետական բյուջեից, միջազգային կազմակերպությունների և օտարերկրյա պետությունների կողմից ներգրաված վարկային միջոցների հաշվին տրամադրված բյուջետային վարկերի և ենթավարկերի  վերաբերյալ 31.12.2022թ. դրությամբ </t>
  </si>
  <si>
    <t>ՀՀ կառավարության 15.07.2021թ. թիվ 1168-լ որոշմման հիման վրա գյուղատնտեսական հումքի մթերումների համար վարկերի  ներգրավման նպատակով  տրված բյուջետային երաշխիքների վերաբերյալ՝ 31.12.22թ. դրությամբ</t>
  </si>
  <si>
    <t>20.03.2026թ.</t>
  </si>
  <si>
    <t>23.03.2026թ.</t>
  </si>
  <si>
    <t>«ՎԵԴԻ-ԱԼԿՈ» ՓԲԸ</t>
  </si>
  <si>
    <t>26.03.2026թ.</t>
  </si>
  <si>
    <t>«ԵՐԱՍԽԻ ԳԻՆՈՒ ԳՈՐԾԱՐԱՆ»  ՍՊԸ</t>
  </si>
  <si>
    <t xml:space="preserve">Երաշխիքի գումարը /դրամ/ Guarantee amount /AMD/             Сумма гарантии /драм РА/ </t>
  </si>
  <si>
    <t>Երաշխիքի գծով պարտավորության մնացորդ /ՀՀ դրամ/                                Balance of guarantee obligation /AMD/  Остаток гарантийных обязательств /драм РА/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</si>
</sst>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_р_._-;\-* #,##0.00_р_._-;_-* &quot;-&quot;??_р_._-;_-@_-"/>
    <numFmt numFmtId="165" formatCode="_(* #,##0_);_(* \(#,##0\);_(* &quot;-&quot;??_);_(@_)"/>
    <numFmt numFmtId="166" formatCode="_-* #,##0\ _₽_-;\-* #,##0\ _₽_-;_-* &quot;-&quot;??\ _₽_-;_-@_-"/>
    <numFmt numFmtId="167" formatCode="0.0%"/>
    <numFmt numFmtId="168" formatCode="0.000%"/>
    <numFmt numFmtId="169" formatCode="_(* #,##0.0_);_(* \(#,##0.0\);_(* &quot;-&quot;??_);_(@_)"/>
    <numFmt numFmtId="170" formatCode="0.000"/>
    <numFmt numFmtId="171" formatCode="_(* #,##0.000_);_(* \(#,##0.000\);_(* &quot;-&quot;??_);_(@_)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HEA Grapalat"/>
      <family val="3"/>
    </font>
    <font>
      <sz val="11"/>
      <color theme="1"/>
      <name val="Calibri"/>
      <family val="2"/>
      <scheme val="minor"/>
    </font>
    <font>
      <b/>
      <sz val="12"/>
      <color theme="1"/>
      <name val="GHEA Grapalat"/>
      <family val="3"/>
    </font>
    <font>
      <b/>
      <sz val="16"/>
      <name val="GHEA Grapalat"/>
      <family val="3"/>
    </font>
    <font>
      <sz val="16"/>
      <name val="GHEA Grapalat"/>
      <family val="3"/>
    </font>
    <font>
      <b/>
      <sz val="10"/>
      <name val="GHEA Grapalat"/>
      <family val="3"/>
    </font>
    <font>
      <b/>
      <sz val="14"/>
      <name val="GHEA Grapalat"/>
      <family val="3"/>
    </font>
    <font>
      <sz val="10"/>
      <name val="Arial Armenian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GHEA Grapalat"/>
      <family val="3"/>
    </font>
    <font>
      <sz val="11"/>
      <color indexed="8"/>
      <name val="Calibri"/>
      <family val="2"/>
    </font>
    <font>
      <sz val="14"/>
      <color theme="1"/>
      <name val="GHEA Grapalat"/>
      <family val="3"/>
    </font>
    <font>
      <b/>
      <sz val="14"/>
      <color theme="1"/>
      <name val="GHEA Grapalat"/>
      <family val="3"/>
    </font>
    <font>
      <b/>
      <i/>
      <sz val="14"/>
      <color theme="1"/>
      <name val="GHEA Grapalat"/>
      <family val="3"/>
    </font>
    <font>
      <b/>
      <sz val="12"/>
      <color indexed="56"/>
      <name val="GHEA Grapalat"/>
      <family val="3"/>
    </font>
    <font>
      <b/>
      <sz val="13"/>
      <color indexed="56"/>
      <name val="GHEA Grapalat"/>
      <family val="3"/>
    </font>
    <font>
      <b/>
      <sz val="10"/>
      <color indexed="8"/>
      <name val="GHEA Grapalat"/>
      <family val="3"/>
    </font>
    <font>
      <sz val="12"/>
      <name val="GHEA Grapalat"/>
      <family val="3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0" fontId="13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7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2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165" fontId="2" fillId="2" borderId="1" xfId="2" applyNumberFormat="1" applyFont="1" applyFill="1" applyBorder="1" applyAlignment="1" applyProtection="1">
      <alignment horizontal="left" vertical="center" wrapText="1"/>
      <protection locked="0"/>
    </xf>
    <xf numFmtId="165" fontId="2" fillId="2" borderId="2" xfId="3" applyNumberFormat="1" applyFont="1" applyFill="1" applyBorder="1" applyAlignment="1" applyProtection="1">
      <alignment horizontal="center" vertical="center" wrapText="1"/>
      <protection locked="0"/>
    </xf>
    <xf numFmtId="165" fontId="2" fillId="2" borderId="1" xfId="4" applyNumberFormat="1" applyFont="1" applyFill="1" applyBorder="1" applyAlignment="1" applyProtection="1">
      <alignment horizontal="center" vertical="center" wrapText="1"/>
      <protection locked="0"/>
    </xf>
    <xf numFmtId="165" fontId="2" fillId="2" borderId="2" xfId="4" applyNumberFormat="1" applyFont="1" applyFill="1" applyBorder="1" applyAlignment="1" applyProtection="1">
      <alignment horizontal="center" vertical="center" wrapText="1"/>
      <protection locked="0"/>
    </xf>
    <xf numFmtId="2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Border="1"/>
    <xf numFmtId="166" fontId="0" fillId="0" borderId="0" xfId="5" applyNumberFormat="1" applyFont="1" applyBorder="1"/>
    <xf numFmtId="0" fontId="0" fillId="0" borderId="0" xfId="0" applyBorder="1"/>
    <xf numFmtId="0" fontId="10" fillId="0" borderId="0" xfId="0" applyFont="1"/>
    <xf numFmtId="0" fontId="14" fillId="0" borderId="0" xfId="0" applyFont="1"/>
    <xf numFmtId="0" fontId="14" fillId="0" borderId="0" xfId="0" applyFont="1" applyBorder="1"/>
    <xf numFmtId="0" fontId="16" fillId="0" borderId="2" xfId="0" applyFont="1" applyBorder="1" applyAlignment="1">
      <alignment horizontal="center" vertical="center" wrapText="1"/>
    </xf>
    <xf numFmtId="165" fontId="16" fillId="0" borderId="2" xfId="5" applyNumberFormat="1" applyFont="1" applyBorder="1" applyAlignment="1">
      <alignment horizontal="center" vertical="center" wrapText="1"/>
    </xf>
    <xf numFmtId="165" fontId="16" fillId="0" borderId="2" xfId="2" applyNumberFormat="1" applyFont="1" applyBorder="1" applyAlignment="1">
      <alignment horizontal="center" vertical="center" wrapText="1"/>
    </xf>
    <xf numFmtId="0" fontId="16" fillId="0" borderId="16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5" fontId="18" fillId="0" borderId="2" xfId="0" applyNumberFormat="1" applyFont="1" applyBorder="1" applyAlignment="1">
      <alignment horizontal="center" vertical="center" wrapText="1"/>
    </xf>
    <xf numFmtId="169" fontId="2" fillId="0" borderId="2" xfId="12" applyNumberFormat="1" applyFont="1" applyFill="1" applyBorder="1" applyAlignment="1">
      <alignment horizontal="center" vertical="center" wrapText="1"/>
    </xf>
    <xf numFmtId="43" fontId="2" fillId="2" borderId="0" xfId="2" applyFont="1" applyFill="1" applyProtection="1"/>
    <xf numFmtId="0" fontId="2" fillId="2" borderId="0" xfId="1" applyFont="1" applyFill="1" applyProtection="1"/>
    <xf numFmtId="43" fontId="7" fillId="2" borderId="0" xfId="2" applyFont="1" applyFill="1" applyAlignment="1" applyProtection="1"/>
    <xf numFmtId="0" fontId="7" fillId="2" borderId="0" xfId="1" applyFont="1" applyFill="1" applyAlignment="1" applyProtection="1"/>
    <xf numFmtId="43" fontId="2" fillId="2" borderId="0" xfId="2" applyFont="1" applyFill="1" applyBorder="1" applyProtection="1"/>
    <xf numFmtId="43" fontId="9" fillId="2" borderId="0" xfId="2" applyFont="1" applyFill="1" applyProtection="1"/>
    <xf numFmtId="0" fontId="9" fillId="2" borderId="0" xfId="1" applyFont="1" applyFill="1" applyProtection="1"/>
    <xf numFmtId="43" fontId="9" fillId="2" borderId="0" xfId="9" applyFont="1" applyFill="1" applyProtection="1"/>
    <xf numFmtId="0" fontId="7" fillId="2" borderId="19" xfId="1" applyFont="1" applyFill="1" applyBorder="1" applyAlignment="1" applyProtection="1">
      <alignment horizontal="center" vertical="center" wrapText="1"/>
    </xf>
    <xf numFmtId="0" fontId="7" fillId="2" borderId="20" xfId="1" applyFont="1" applyFill="1" applyBorder="1" applyAlignment="1" applyProtection="1">
      <alignment horizontal="center" vertical="center" wrapText="1"/>
    </xf>
    <xf numFmtId="10" fontId="7" fillId="2" borderId="20" xfId="6" applyNumberFormat="1" applyFont="1" applyFill="1" applyBorder="1" applyAlignment="1" applyProtection="1">
      <alignment horizontal="center" vertical="center" wrapText="1"/>
    </xf>
    <xf numFmtId="0" fontId="7" fillId="2" borderId="18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vertical="center" wrapText="1"/>
    </xf>
    <xf numFmtId="10" fontId="2" fillId="2" borderId="3" xfId="1" applyNumberFormat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/>
    </xf>
    <xf numFmtId="165" fontId="2" fillId="2" borderId="2" xfId="4" applyNumberFormat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vertical="center" wrapText="1"/>
    </xf>
    <xf numFmtId="165" fontId="2" fillId="2" borderId="2" xfId="4" applyNumberFormat="1" applyFont="1" applyFill="1" applyBorder="1" applyAlignment="1" applyProtection="1">
      <alignment vertical="center"/>
    </xf>
    <xf numFmtId="165" fontId="2" fillId="2" borderId="2" xfId="1" applyNumberFormat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/>
    </xf>
    <xf numFmtId="10" fontId="2" fillId="2" borderId="2" xfId="6" applyNumberFormat="1" applyFont="1" applyFill="1" applyBorder="1" applyAlignment="1" applyProtection="1">
      <alignment horizontal="center" vertical="center" wrapText="1"/>
    </xf>
    <xf numFmtId="167" fontId="2" fillId="2" borderId="2" xfId="6" applyNumberFormat="1" applyFont="1" applyFill="1" applyBorder="1" applyAlignment="1" applyProtection="1">
      <alignment horizontal="center" vertical="center" wrapText="1"/>
    </xf>
    <xf numFmtId="165" fontId="2" fillId="2" borderId="2" xfId="3" applyNumberFormat="1" applyFont="1" applyFill="1" applyBorder="1" applyAlignment="1" applyProtection="1">
      <alignment horizontal="center" vertical="center" wrapText="1"/>
    </xf>
    <xf numFmtId="165" fontId="2" fillId="2" borderId="2" xfId="7" applyNumberFormat="1" applyFont="1" applyFill="1" applyBorder="1" applyAlignment="1" applyProtection="1">
      <alignment horizontal="center" vertical="center" wrapText="1"/>
    </xf>
    <xf numFmtId="10" fontId="2" fillId="2" borderId="2" xfId="1" applyNumberFormat="1" applyFont="1" applyFill="1" applyBorder="1" applyAlignment="1" applyProtection="1">
      <alignment horizontal="center" vertical="center" wrapText="1"/>
    </xf>
    <xf numFmtId="0" fontId="2" fillId="2" borderId="2" xfId="4" applyNumberFormat="1" applyFont="1" applyFill="1" applyBorder="1" applyAlignment="1" applyProtection="1">
      <alignment horizontal="center" vertical="center" wrapText="1"/>
    </xf>
    <xf numFmtId="0" fontId="2" fillId="2" borderId="1" xfId="4" applyNumberFormat="1" applyFont="1" applyFill="1" applyBorder="1" applyAlignment="1" applyProtection="1">
      <alignment horizontal="center" vertical="center" wrapText="1"/>
    </xf>
    <xf numFmtId="0" fontId="2" fillId="2" borderId="2" xfId="1" quotePrefix="1" applyNumberFormat="1" applyFont="1" applyFill="1" applyBorder="1" applyAlignment="1" applyProtection="1">
      <alignment horizontal="center" vertical="center" wrapText="1"/>
    </xf>
    <xf numFmtId="165" fontId="2" fillId="2" borderId="2" xfId="2" applyNumberFormat="1" applyFont="1" applyFill="1" applyBorder="1" applyAlignment="1" applyProtection="1">
      <alignment horizontal="left" vertical="center" wrapText="1"/>
    </xf>
    <xf numFmtId="9" fontId="2" fillId="2" borderId="2" xfId="8" applyFont="1" applyFill="1" applyBorder="1" applyAlignment="1" applyProtection="1">
      <alignment horizontal="center" vertical="center" wrapText="1"/>
    </xf>
    <xf numFmtId="168" fontId="2" fillId="2" borderId="2" xfId="8" applyNumberFormat="1" applyFont="1" applyFill="1" applyBorder="1" applyAlignment="1" applyProtection="1">
      <alignment horizontal="center" vertical="center" wrapText="1"/>
    </xf>
    <xf numFmtId="165" fontId="2" fillId="2" borderId="1" xfId="3" applyNumberFormat="1" applyFont="1" applyFill="1" applyBorder="1" applyAlignment="1" applyProtection="1">
      <alignment horizontal="center" vertical="center" wrapText="1"/>
    </xf>
    <xf numFmtId="10" fontId="2" fillId="2" borderId="1" xfId="8" applyNumberFormat="1" applyFont="1" applyFill="1" applyBorder="1" applyAlignment="1" applyProtection="1">
      <alignment horizontal="center" vertical="center" wrapText="1"/>
    </xf>
    <xf numFmtId="9" fontId="2" fillId="2" borderId="1" xfId="1" applyNumberFormat="1" applyFont="1" applyFill="1" applyBorder="1" applyAlignment="1" applyProtection="1">
      <alignment horizontal="center" vertical="center" wrapText="1"/>
    </xf>
    <xf numFmtId="165" fontId="2" fillId="2" borderId="1" xfId="2" applyNumberFormat="1" applyFont="1" applyFill="1" applyBorder="1" applyAlignment="1" applyProtection="1">
      <alignment horizontal="left" vertical="center" wrapText="1"/>
    </xf>
    <xf numFmtId="165" fontId="2" fillId="2" borderId="1" xfId="1" applyNumberFormat="1" applyFont="1" applyFill="1" applyBorder="1" applyAlignment="1" applyProtection="1">
      <alignment horizontal="center" vertical="center" wrapText="1"/>
    </xf>
    <xf numFmtId="1" fontId="22" fillId="2" borderId="0" xfId="1" applyNumberFormat="1" applyFont="1" applyFill="1" applyAlignment="1" applyProtection="1">
      <alignment horizontal="center"/>
    </xf>
    <xf numFmtId="0" fontId="22" fillId="2" borderId="0" xfId="1" applyFont="1" applyFill="1" applyProtection="1"/>
    <xf numFmtId="170" fontId="22" fillId="2" borderId="0" xfId="1" applyNumberFormat="1" applyFont="1" applyFill="1" applyProtection="1"/>
    <xf numFmtId="1" fontId="2" fillId="2" borderId="0" xfId="1" applyNumberFormat="1" applyFont="1" applyFill="1" applyAlignment="1" applyProtection="1">
      <alignment horizontal="center"/>
    </xf>
    <xf numFmtId="0" fontId="2" fillId="2" borderId="0" xfId="1" applyFont="1" applyFill="1" applyAlignment="1" applyProtection="1">
      <alignment horizontal="centerContinuous"/>
    </xf>
    <xf numFmtId="0" fontId="2" fillId="2" borderId="0" xfId="1" applyNumberFormat="1" applyFont="1" applyFill="1" applyAlignment="1" applyProtection="1">
      <alignment horizontal="centerContinuous"/>
    </xf>
    <xf numFmtId="10" fontId="2" fillId="2" borderId="0" xfId="6" applyNumberFormat="1" applyFont="1" applyFill="1" applyAlignment="1" applyProtection="1">
      <alignment horizontal="centerContinuous"/>
    </xf>
    <xf numFmtId="165" fontId="2" fillId="2" borderId="2" xfId="4" applyNumberFormat="1" applyFont="1" applyFill="1" applyBorder="1" applyAlignment="1" applyProtection="1">
      <alignment vertical="center" wrapText="1"/>
    </xf>
    <xf numFmtId="165" fontId="2" fillId="2" borderId="3" xfId="4" applyNumberFormat="1" applyFont="1" applyFill="1" applyBorder="1" applyAlignment="1" applyProtection="1">
      <alignment vertical="center" wrapText="1"/>
    </xf>
    <xf numFmtId="43" fontId="2" fillId="2" borderId="2" xfId="4" applyFont="1" applyFill="1" applyBorder="1" applyAlignment="1" applyProtection="1">
      <alignment horizontal="center" vertical="center" wrapText="1"/>
    </xf>
    <xf numFmtId="165" fontId="2" fillId="2" borderId="2" xfId="4" applyNumberFormat="1" applyFont="1" applyFill="1" applyBorder="1" applyAlignment="1" applyProtection="1">
      <alignment horizontal="center" vertical="center"/>
    </xf>
    <xf numFmtId="168" fontId="2" fillId="2" borderId="1" xfId="6" applyNumberFormat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/>
    </xf>
    <xf numFmtId="165" fontId="2" fillId="2" borderId="15" xfId="1" applyNumberFormat="1" applyFont="1" applyFill="1" applyBorder="1" applyAlignment="1" applyProtection="1">
      <alignment horizontal="center" vertical="center" wrapText="1"/>
    </xf>
    <xf numFmtId="0" fontId="2" fillId="2" borderId="15" xfId="1" applyFont="1" applyFill="1" applyBorder="1" applyAlignment="1" applyProtection="1">
      <alignment horizontal="center" vertical="center"/>
    </xf>
    <xf numFmtId="165" fontId="2" fillId="2" borderId="15" xfId="4" applyNumberFormat="1" applyFont="1" applyFill="1" applyBorder="1" applyAlignment="1" applyProtection="1">
      <alignment horizontal="center" vertical="center" wrapText="1"/>
    </xf>
    <xf numFmtId="165" fontId="2" fillId="2" borderId="15" xfId="4" applyNumberFormat="1" applyFont="1" applyFill="1" applyBorder="1" applyAlignment="1" applyProtection="1">
      <alignment vertical="center" wrapText="1"/>
    </xf>
    <xf numFmtId="2" fontId="7" fillId="2" borderId="17" xfId="1" applyNumberFormat="1" applyFont="1" applyFill="1" applyBorder="1" applyAlignment="1" applyProtection="1">
      <alignment vertical="center"/>
    </xf>
    <xf numFmtId="165" fontId="7" fillId="2" borderId="14" xfId="4" applyNumberFormat="1" applyFont="1" applyFill="1" applyBorder="1" applyAlignment="1" applyProtection="1">
      <alignment vertical="center"/>
    </xf>
    <xf numFmtId="0" fontId="2" fillId="2" borderId="0" xfId="1" applyFont="1" applyFill="1" applyBorder="1" applyProtection="1"/>
    <xf numFmtId="2" fontId="7" fillId="2" borderId="2" xfId="1" applyNumberFormat="1" applyFont="1" applyFill="1" applyBorder="1" applyAlignment="1" applyProtection="1">
      <alignment vertical="center"/>
    </xf>
    <xf numFmtId="165" fontId="7" fillId="2" borderId="2" xfId="4" applyNumberFormat="1" applyFont="1" applyFill="1" applyBorder="1" applyAlignment="1" applyProtection="1">
      <alignment vertical="center"/>
    </xf>
    <xf numFmtId="2" fontId="7" fillId="2" borderId="1" xfId="1" applyNumberFormat="1" applyFont="1" applyFill="1" applyBorder="1" applyAlignment="1" applyProtection="1">
      <alignment vertical="center"/>
    </xf>
    <xf numFmtId="165" fontId="7" fillId="2" borderId="15" xfId="4" applyNumberFormat="1" applyFont="1" applyFill="1" applyBorder="1" applyAlignment="1" applyProtection="1">
      <alignment vertical="center"/>
    </xf>
    <xf numFmtId="2" fontId="7" fillId="2" borderId="10" xfId="1" applyNumberFormat="1" applyFont="1" applyFill="1" applyBorder="1" applyAlignment="1" applyProtection="1">
      <alignment vertical="center"/>
    </xf>
    <xf numFmtId="165" fontId="7" fillId="2" borderId="10" xfId="4" applyNumberFormat="1" applyFont="1" applyFill="1" applyBorder="1" applyAlignment="1" applyProtection="1">
      <alignment vertical="center"/>
    </xf>
    <xf numFmtId="165" fontId="7" fillId="2" borderId="17" xfId="4" applyNumberFormat="1" applyFont="1" applyFill="1" applyBorder="1" applyAlignment="1" applyProtection="1">
      <alignment vertical="center"/>
    </xf>
    <xf numFmtId="167" fontId="2" fillId="2" borderId="2" xfId="8" applyNumberFormat="1" applyFont="1" applyFill="1" applyBorder="1" applyAlignment="1" applyProtection="1">
      <alignment horizontal="center" vertical="center" wrapText="1"/>
    </xf>
    <xf numFmtId="167" fontId="2" fillId="2" borderId="1" xfId="8" applyNumberFormat="1" applyFont="1" applyFill="1" applyBorder="1" applyAlignment="1" applyProtection="1">
      <alignment horizontal="center" vertical="center" wrapText="1"/>
    </xf>
    <xf numFmtId="169" fontId="2" fillId="2" borderId="2" xfId="4" applyNumberFormat="1" applyFont="1" applyFill="1" applyBorder="1" applyAlignment="1" applyProtection="1">
      <alignment horizontal="center" vertical="center" wrapText="1"/>
    </xf>
    <xf numFmtId="0" fontId="2" fillId="2" borderId="17" xfId="1" applyFont="1" applyFill="1" applyBorder="1" applyAlignment="1" applyProtection="1">
      <alignment horizontal="center" vertical="center" wrapText="1"/>
    </xf>
    <xf numFmtId="167" fontId="2" fillId="2" borderId="15" xfId="6" applyNumberFormat="1" applyFont="1" applyFill="1" applyBorder="1" applyAlignment="1" applyProtection="1">
      <alignment horizontal="center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2" fontId="2" fillId="2" borderId="10" xfId="1" applyNumberFormat="1" applyFont="1" applyFill="1" applyBorder="1" applyAlignment="1" applyProtection="1">
      <alignment horizontal="center" vertical="center" wrapText="1"/>
    </xf>
    <xf numFmtId="165" fontId="2" fillId="2" borderId="10" xfId="4" applyNumberFormat="1" applyFont="1" applyFill="1" applyBorder="1" applyAlignment="1" applyProtection="1">
      <alignment horizontal="center" vertical="center" wrapText="1"/>
    </xf>
    <xf numFmtId="165" fontId="2" fillId="2" borderId="10" xfId="3" applyNumberFormat="1" applyFont="1" applyFill="1" applyBorder="1" applyAlignment="1" applyProtection="1">
      <alignment horizontal="center" vertical="center" wrapText="1"/>
    </xf>
    <xf numFmtId="167" fontId="2" fillId="2" borderId="10" xfId="6" applyNumberFormat="1" applyFont="1" applyFill="1" applyBorder="1" applyAlignment="1" applyProtection="1">
      <alignment horizontal="center" vertical="center" wrapText="1"/>
    </xf>
    <xf numFmtId="165" fontId="2" fillId="2" borderId="10" xfId="1" applyNumberFormat="1" applyFont="1" applyFill="1" applyBorder="1" applyAlignment="1" applyProtection="1">
      <alignment horizontal="center" vertical="center" wrapText="1"/>
    </xf>
    <xf numFmtId="165" fontId="7" fillId="2" borderId="3" xfId="4" applyNumberFormat="1" applyFont="1" applyFill="1" applyBorder="1" applyAlignment="1" applyProtection="1">
      <alignment vertical="center"/>
    </xf>
    <xf numFmtId="165" fontId="2" fillId="2" borderId="15" xfId="2" applyNumberFormat="1" applyFont="1" applyFill="1" applyBorder="1" applyAlignment="1" applyProtection="1">
      <alignment horizontal="left" vertical="center" wrapText="1"/>
    </xf>
    <xf numFmtId="0" fontId="2" fillId="2" borderId="14" xfId="1" applyFont="1" applyFill="1" applyBorder="1" applyAlignment="1" applyProtection="1">
      <alignment horizontal="center" vertical="center"/>
    </xf>
    <xf numFmtId="2" fontId="7" fillId="2" borderId="3" xfId="1" applyNumberFormat="1" applyFont="1" applyFill="1" applyBorder="1" applyAlignment="1" applyProtection="1">
      <alignment vertical="center"/>
    </xf>
    <xf numFmtId="0" fontId="2" fillId="2" borderId="5" xfId="1" applyFont="1" applyFill="1" applyBorder="1" applyAlignment="1" applyProtection="1">
      <alignment horizontal="center" vertical="center" wrapText="1"/>
    </xf>
    <xf numFmtId="1" fontId="2" fillId="2" borderId="19" xfId="1" applyNumberFormat="1" applyFont="1" applyFill="1" applyBorder="1" applyAlignment="1" applyProtection="1">
      <alignment horizontal="center" vertical="center" wrapText="1"/>
    </xf>
    <xf numFmtId="0" fontId="2" fillId="2" borderId="20" xfId="1" applyFont="1" applyFill="1" applyBorder="1" applyAlignment="1" applyProtection="1">
      <alignment horizontal="center" vertical="center" wrapText="1"/>
    </xf>
    <xf numFmtId="165" fontId="2" fillId="2" borderId="20" xfId="4" applyNumberFormat="1" applyFont="1" applyFill="1" applyBorder="1" applyAlignment="1" applyProtection="1">
      <alignment horizontal="center" vertical="center" wrapText="1"/>
    </xf>
    <xf numFmtId="165" fontId="2" fillId="2" borderId="20" xfId="3" applyNumberFormat="1" applyFont="1" applyFill="1" applyBorder="1" applyAlignment="1" applyProtection="1">
      <alignment horizontal="center" vertical="center" wrapText="1"/>
    </xf>
    <xf numFmtId="168" fontId="2" fillId="2" borderId="20" xfId="8" applyNumberFormat="1" applyFont="1" applyFill="1" applyBorder="1" applyAlignment="1" applyProtection="1">
      <alignment horizontal="center" vertical="center" wrapText="1"/>
    </xf>
    <xf numFmtId="165" fontId="2" fillId="2" borderId="6" xfId="2" applyNumberFormat="1" applyFont="1" applyFill="1" applyBorder="1" applyAlignment="1" applyProtection="1">
      <alignment horizontal="left" vertical="center" wrapText="1"/>
    </xf>
    <xf numFmtId="1" fontId="8" fillId="2" borderId="0" xfId="1" applyNumberFormat="1" applyFont="1" applyFill="1" applyBorder="1" applyAlignment="1" applyProtection="1">
      <alignment horizontal="center" vertical="center" wrapText="1"/>
    </xf>
    <xf numFmtId="2" fontId="7" fillId="2" borderId="0" xfId="1" applyNumberFormat="1" applyFont="1" applyFill="1" applyBorder="1" applyAlignment="1" applyProtection="1">
      <alignment horizontal="center" vertical="center"/>
    </xf>
    <xf numFmtId="0" fontId="2" fillId="2" borderId="0" xfId="1" applyFont="1" applyFill="1" applyBorder="1" applyAlignment="1" applyProtection="1">
      <alignment horizontal="center" vertical="center" wrapText="1"/>
    </xf>
    <xf numFmtId="165" fontId="7" fillId="2" borderId="0" xfId="4" applyNumberFormat="1" applyFont="1" applyFill="1" applyBorder="1" applyAlignment="1" applyProtection="1">
      <alignment vertical="center"/>
    </xf>
    <xf numFmtId="0" fontId="2" fillId="2" borderId="0" xfId="1" applyNumberFormat="1" applyFont="1" applyFill="1" applyProtection="1"/>
    <xf numFmtId="2" fontId="7" fillId="2" borderId="0" xfId="1" applyNumberFormat="1" applyFont="1" applyFill="1" applyBorder="1" applyAlignment="1" applyProtection="1">
      <alignment vertical="center"/>
    </xf>
    <xf numFmtId="43" fontId="2" fillId="2" borderId="0" xfId="1" applyNumberFormat="1" applyFont="1" applyFill="1" applyProtection="1"/>
    <xf numFmtId="10" fontId="2" fillId="2" borderId="0" xfId="6" applyNumberFormat="1" applyFont="1" applyFill="1" applyProtection="1"/>
    <xf numFmtId="165" fontId="2" fillId="2" borderId="0" xfId="1" applyNumberFormat="1" applyFont="1" applyFill="1" applyProtection="1"/>
    <xf numFmtId="165" fontId="2" fillId="2" borderId="0" xfId="4" applyNumberFormat="1" applyFont="1" applyFill="1" applyProtection="1"/>
    <xf numFmtId="0" fontId="2" fillId="2" borderId="0" xfId="1" applyFont="1" applyFill="1" applyAlignment="1" applyProtection="1">
      <alignment horizontal="center"/>
    </xf>
    <xf numFmtId="165" fontId="2" fillId="2" borderId="0" xfId="6" applyNumberFormat="1" applyFont="1" applyFill="1" applyProtection="1"/>
    <xf numFmtId="43" fontId="2" fillId="2" borderId="0" xfId="4" applyNumberFormat="1" applyFont="1" applyFill="1" applyProtection="1"/>
    <xf numFmtId="165" fontId="2" fillId="2" borderId="0" xfId="9" applyNumberFormat="1" applyFont="1" applyFill="1" applyAlignment="1" applyProtection="1"/>
    <xf numFmtId="171" fontId="2" fillId="2" borderId="0" xfId="1" applyNumberFormat="1" applyFont="1" applyFill="1" applyProtection="1"/>
    <xf numFmtId="165" fontId="2" fillId="2" borderId="0" xfId="9" applyNumberFormat="1" applyFont="1" applyFill="1" applyProtection="1"/>
    <xf numFmtId="0" fontId="2" fillId="2" borderId="30" xfId="1" applyFont="1" applyFill="1" applyBorder="1" applyAlignment="1" applyProtection="1">
      <alignment horizontal="center" vertical="center" wrapText="1"/>
    </xf>
    <xf numFmtId="0" fontId="2" fillId="2" borderId="33" xfId="1" applyFont="1" applyFill="1" applyBorder="1" applyAlignment="1" applyProtection="1">
      <alignment horizontal="center" vertical="center" wrapText="1"/>
    </xf>
    <xf numFmtId="165" fontId="7" fillId="2" borderId="35" xfId="4" applyNumberFormat="1" applyFont="1" applyFill="1" applyBorder="1" applyAlignment="1" applyProtection="1">
      <alignment vertical="center"/>
    </xf>
    <xf numFmtId="165" fontId="7" fillId="2" borderId="33" xfId="4" applyNumberFormat="1" applyFont="1" applyFill="1" applyBorder="1" applyAlignment="1" applyProtection="1">
      <alignment vertical="center"/>
    </xf>
    <xf numFmtId="165" fontId="7" fillId="2" borderId="34" xfId="4" applyNumberFormat="1" applyFont="1" applyFill="1" applyBorder="1" applyAlignment="1" applyProtection="1">
      <alignment vertical="center"/>
    </xf>
    <xf numFmtId="165" fontId="7" fillId="2" borderId="37" xfId="4" applyNumberFormat="1" applyFont="1" applyFill="1" applyBorder="1" applyAlignment="1" applyProtection="1">
      <alignment vertical="center"/>
    </xf>
    <xf numFmtId="1" fontId="2" fillId="2" borderId="33" xfId="1" applyNumberFormat="1" applyFont="1" applyFill="1" applyBorder="1" applyAlignment="1" applyProtection="1">
      <alignment horizontal="center" vertical="center" wrapText="1"/>
    </xf>
    <xf numFmtId="165" fontId="7" fillId="2" borderId="32" xfId="4" applyNumberFormat="1" applyFont="1" applyFill="1" applyBorder="1" applyAlignment="1" applyProtection="1">
      <alignment vertical="center"/>
    </xf>
    <xf numFmtId="0" fontId="2" fillId="2" borderId="1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15" xfId="1" applyFont="1" applyFill="1" applyBorder="1" applyAlignment="1" applyProtection="1">
      <alignment horizontal="center" vertical="center" wrapText="1"/>
    </xf>
    <xf numFmtId="0" fontId="2" fillId="2" borderId="34" xfId="1" applyFont="1" applyFill="1" applyBorder="1" applyAlignment="1" applyProtection="1">
      <alignment horizontal="center" vertical="center" wrapText="1"/>
    </xf>
    <xf numFmtId="0" fontId="2" fillId="2" borderId="32" xfId="1" applyFont="1" applyFill="1" applyBorder="1" applyAlignment="1" applyProtection="1">
      <alignment horizontal="center" vertical="center" wrapText="1"/>
    </xf>
    <xf numFmtId="1" fontId="2" fillId="2" borderId="15" xfId="1" applyNumberFormat="1" applyFont="1" applyFill="1" applyBorder="1" applyAlignment="1" applyProtection="1">
      <alignment horizontal="center" vertical="center" wrapText="1"/>
    </xf>
    <xf numFmtId="1" fontId="2" fillId="2" borderId="3" xfId="1" applyNumberFormat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2" fontId="2" fillId="2" borderId="15" xfId="1" applyNumberFormat="1" applyFont="1" applyFill="1" applyBorder="1" applyAlignment="1" applyProtection="1">
      <alignment horizontal="center" vertical="center" wrapText="1"/>
    </xf>
    <xf numFmtId="2" fontId="2" fillId="2" borderId="3" xfId="1" applyNumberFormat="1" applyFont="1" applyFill="1" applyBorder="1" applyAlignment="1" applyProtection="1">
      <alignment horizontal="center" vertical="center" wrapText="1"/>
    </xf>
    <xf numFmtId="2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1" xfId="1" applyFont="1" applyFill="1" applyBorder="1" applyAlignment="1" applyProtection="1">
      <alignment horizontal="center" vertical="center" wrapText="1"/>
    </xf>
    <xf numFmtId="0" fontId="2" fillId="2" borderId="9" xfId="1" applyFont="1" applyFill="1" applyBorder="1" applyAlignment="1" applyProtection="1">
      <alignment horizontal="center" vertical="center" wrapText="1"/>
    </xf>
    <xf numFmtId="1" fontId="2" fillId="2" borderId="1" xfId="1" applyNumberFormat="1" applyFont="1" applyFill="1" applyBorder="1" applyAlignment="1" applyProtection="1">
      <alignment horizontal="center" vertical="center" wrapText="1"/>
    </xf>
    <xf numFmtId="1" fontId="2" fillId="2" borderId="34" xfId="1" applyNumberFormat="1" applyFont="1" applyFill="1" applyBorder="1" applyAlignment="1" applyProtection="1">
      <alignment horizontal="center" vertical="center" wrapText="1"/>
    </xf>
    <xf numFmtId="1" fontId="2" fillId="2" borderId="38" xfId="1" applyNumberFormat="1" applyFont="1" applyFill="1" applyBorder="1" applyAlignment="1" applyProtection="1">
      <alignment horizontal="center" vertical="center" wrapText="1"/>
    </xf>
    <xf numFmtId="0" fontId="2" fillId="2" borderId="24" xfId="1" applyFont="1" applyFill="1" applyBorder="1" applyAlignment="1" applyProtection="1">
      <alignment horizontal="center" vertical="center" wrapText="1"/>
    </xf>
    <xf numFmtId="10" fontId="2" fillId="2" borderId="1" xfId="6" applyNumberFormat="1" applyFont="1" applyFill="1" applyBorder="1" applyAlignment="1" applyProtection="1">
      <alignment horizontal="center" vertical="center" wrapText="1"/>
    </xf>
    <xf numFmtId="0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3" xfId="1" applyNumberFormat="1" applyFont="1" applyFill="1" applyBorder="1" applyAlignment="1" applyProtection="1">
      <alignment horizontal="center" vertical="center" wrapText="1"/>
    </xf>
    <xf numFmtId="165" fontId="2" fillId="2" borderId="1" xfId="4" applyNumberFormat="1" applyFont="1" applyFill="1" applyBorder="1" applyAlignment="1" applyProtection="1">
      <alignment horizontal="center" vertical="center" wrapText="1"/>
    </xf>
    <xf numFmtId="165" fontId="2" fillId="2" borderId="3" xfId="4" applyNumberFormat="1" applyFont="1" applyFill="1" applyBorder="1" applyAlignment="1" applyProtection="1">
      <alignment horizontal="center" vertical="center" wrapText="1"/>
    </xf>
    <xf numFmtId="167" fontId="2" fillId="2" borderId="1" xfId="6" applyNumberFormat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2" xfId="1" applyNumberFormat="1" applyFont="1" applyFill="1" applyBorder="1" applyAlignment="1" applyProtection="1">
      <alignment horizontal="center" vertical="center" wrapText="1"/>
    </xf>
    <xf numFmtId="2" fontId="2" fillId="2" borderId="2" xfId="1" applyNumberFormat="1" applyFont="1" applyFill="1" applyBorder="1" applyAlignment="1" applyProtection="1">
      <alignment horizontal="center" vertical="center" wrapText="1"/>
    </xf>
    <xf numFmtId="1" fontId="2" fillId="2" borderId="2" xfId="1" applyNumberFormat="1" applyFont="1" applyFill="1" applyBorder="1" applyAlignment="1" applyProtection="1">
      <alignment horizontal="center" vertical="center" wrapText="1"/>
    </xf>
    <xf numFmtId="10" fontId="2" fillId="2" borderId="3" xfId="6" applyNumberFormat="1" applyFont="1" applyFill="1" applyBorder="1" applyAlignment="1" applyProtection="1">
      <alignment horizontal="center" vertical="center" wrapText="1"/>
    </xf>
    <xf numFmtId="10" fontId="2" fillId="2" borderId="15" xfId="6" applyNumberFormat="1" applyFont="1" applyFill="1" applyBorder="1" applyAlignment="1" applyProtection="1">
      <alignment horizontal="center" vertical="center" wrapText="1"/>
    </xf>
    <xf numFmtId="9" fontId="2" fillId="2" borderId="2" xfId="1" applyNumberFormat="1" applyFont="1" applyFill="1" applyBorder="1" applyAlignment="1" applyProtection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169" fontId="7" fillId="0" borderId="17" xfId="12" applyNumberFormat="1" applyFont="1" applyFill="1" applyBorder="1" applyAlignment="1">
      <alignment horizontal="center" vertical="center" wrapText="1"/>
    </xf>
    <xf numFmtId="169" fontId="7" fillId="0" borderId="35" xfId="12" applyNumberFormat="1" applyFont="1" applyFill="1" applyBorder="1" applyAlignment="1">
      <alignment horizontal="center" vertical="center" wrapText="1"/>
    </xf>
    <xf numFmtId="169" fontId="2" fillId="0" borderId="33" xfId="12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justify" vertical="center" wrapText="1"/>
    </xf>
    <xf numFmtId="0" fontId="14" fillId="0" borderId="0" xfId="0" applyFont="1" applyFill="1" applyBorder="1" applyAlignment="1">
      <alignment horizontal="justify" vertical="center" wrapText="1"/>
    </xf>
    <xf numFmtId="169" fontId="2" fillId="0" borderId="2" xfId="12" applyNumberFormat="1" applyFont="1" applyFill="1" applyBorder="1" applyAlignment="1">
      <alignment horizontal="justify" vertical="center" wrapText="1"/>
    </xf>
    <xf numFmtId="169" fontId="2" fillId="0" borderId="33" xfId="12" applyNumberFormat="1" applyFont="1" applyFill="1" applyBorder="1" applyAlignment="1">
      <alignment horizontal="justify" vertical="center" wrapText="1"/>
    </xf>
    <xf numFmtId="0" fontId="14" fillId="0" borderId="7" xfId="0" applyFont="1" applyFill="1" applyBorder="1" applyAlignment="1">
      <alignment horizontal="justify" vertical="center" wrapText="1"/>
    </xf>
    <xf numFmtId="0" fontId="14" fillId="0" borderId="2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14" fillId="0" borderId="33" xfId="0" applyFont="1" applyFill="1" applyBorder="1" applyAlignment="1">
      <alignment horizontal="justify" vertical="center" wrapText="1"/>
    </xf>
    <xf numFmtId="169" fontId="2" fillId="0" borderId="0" xfId="12" applyNumberFormat="1" applyFont="1" applyFill="1" applyBorder="1" applyAlignment="1">
      <alignment horizontal="justify" vertical="center" wrapText="1"/>
    </xf>
    <xf numFmtId="165" fontId="2" fillId="0" borderId="10" xfId="12" applyNumberFormat="1" applyFont="1" applyFill="1" applyBorder="1" applyAlignment="1">
      <alignment horizontal="justify" vertical="center" wrapText="1"/>
    </xf>
    <xf numFmtId="0" fontId="14" fillId="0" borderId="37" xfId="0" applyFont="1" applyFill="1" applyBorder="1" applyAlignment="1">
      <alignment horizontal="justify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wrapText="1"/>
    </xf>
    <xf numFmtId="0" fontId="5" fillId="2" borderId="0" xfId="1" applyFont="1" applyFill="1" applyAlignment="1" applyProtection="1">
      <alignment horizontal="center"/>
    </xf>
    <xf numFmtId="0" fontId="6" fillId="2" borderId="0" xfId="1" applyFont="1" applyFill="1" applyAlignment="1" applyProtection="1">
      <alignment horizontal="center" wrapText="1"/>
    </xf>
    <xf numFmtId="0" fontId="2" fillId="2" borderId="9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2" fillId="2" borderId="14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2" fontId="2" fillId="2" borderId="3" xfId="1" applyNumberFormat="1" applyFont="1" applyFill="1" applyBorder="1" applyAlignment="1" applyProtection="1">
      <alignment horizontal="center" vertical="center" wrapText="1"/>
    </xf>
    <xf numFmtId="2" fontId="2" fillId="2" borderId="2" xfId="1" applyNumberFormat="1" applyFont="1" applyFill="1" applyBorder="1" applyAlignment="1" applyProtection="1">
      <alignment horizontal="center" vertical="center" wrapText="1"/>
    </xf>
    <xf numFmtId="0" fontId="2" fillId="2" borderId="3" xfId="1" applyNumberFormat="1" applyFont="1" applyFill="1" applyBorder="1" applyAlignment="1" applyProtection="1">
      <alignment horizontal="center" vertical="center" wrapText="1"/>
    </xf>
    <xf numFmtId="0" fontId="2" fillId="2" borderId="2" xfId="1" applyNumberFormat="1" applyFont="1" applyFill="1" applyBorder="1" applyAlignment="1" applyProtection="1">
      <alignment horizontal="center" vertical="center" wrapText="1"/>
    </xf>
    <xf numFmtId="0" fontId="2" fillId="2" borderId="34" xfId="1" applyFont="1" applyFill="1" applyBorder="1" applyAlignment="1" applyProtection="1">
      <alignment horizontal="center" vertical="center" wrapText="1"/>
    </xf>
    <xf numFmtId="0" fontId="2" fillId="2" borderId="32" xfId="1" applyFont="1" applyFill="1" applyBorder="1" applyAlignment="1" applyProtection="1">
      <alignment horizontal="center" vertical="center" wrapText="1"/>
    </xf>
    <xf numFmtId="0" fontId="2" fillId="2" borderId="11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1" xfId="1" applyNumberFormat="1" applyFont="1" applyFill="1" applyBorder="1" applyAlignment="1" applyProtection="1">
      <alignment horizontal="center" vertical="center" wrapText="1"/>
    </xf>
    <xf numFmtId="2" fontId="2" fillId="2" borderId="1" xfId="1" applyNumberFormat="1" applyFont="1" applyFill="1" applyBorder="1" applyAlignment="1" applyProtection="1">
      <alignment horizontal="center" vertical="center" wrapText="1"/>
    </xf>
    <xf numFmtId="10" fontId="2" fillId="2" borderId="1" xfId="6" applyNumberFormat="1" applyFont="1" applyFill="1" applyBorder="1" applyAlignment="1" applyProtection="1">
      <alignment horizontal="center" vertical="center" wrapText="1"/>
    </xf>
    <xf numFmtId="10" fontId="2" fillId="2" borderId="3" xfId="6" applyNumberFormat="1" applyFont="1" applyFill="1" applyBorder="1" applyAlignment="1" applyProtection="1">
      <alignment horizontal="center" vertical="center" wrapText="1"/>
    </xf>
    <xf numFmtId="9" fontId="2" fillId="2" borderId="2" xfId="1" applyNumberFormat="1" applyFont="1" applyFill="1" applyBorder="1" applyAlignment="1" applyProtection="1">
      <alignment horizontal="center" vertical="center" wrapText="1"/>
    </xf>
    <xf numFmtId="1" fontId="2" fillId="2" borderId="1" xfId="1" applyNumberFormat="1" applyFont="1" applyFill="1" applyBorder="1" applyAlignment="1" applyProtection="1">
      <alignment horizontal="center" vertical="center" wrapText="1"/>
    </xf>
    <xf numFmtId="1" fontId="2" fillId="2" borderId="3" xfId="1" applyNumberFormat="1" applyFont="1" applyFill="1" applyBorder="1" applyAlignment="1" applyProtection="1">
      <alignment horizontal="center" vertical="center" wrapText="1"/>
    </xf>
    <xf numFmtId="0" fontId="2" fillId="2" borderId="15" xfId="1" applyFont="1" applyFill="1" applyBorder="1" applyAlignment="1" applyProtection="1">
      <alignment horizontal="center" vertical="center" wrapText="1"/>
    </xf>
    <xf numFmtId="2" fontId="2" fillId="2" borderId="15" xfId="1" applyNumberFormat="1" applyFont="1" applyFill="1" applyBorder="1" applyAlignment="1" applyProtection="1">
      <alignment horizontal="center" vertical="center" wrapText="1"/>
    </xf>
    <xf numFmtId="10" fontId="2" fillId="2" borderId="15" xfId="6" applyNumberFormat="1" applyFont="1" applyFill="1" applyBorder="1" applyAlignment="1" applyProtection="1">
      <alignment horizontal="center" vertical="center" wrapText="1"/>
    </xf>
    <xf numFmtId="1" fontId="2" fillId="2" borderId="2" xfId="1" applyNumberFormat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1" fontId="2" fillId="2" borderId="15" xfId="1" applyNumberFormat="1" applyFont="1" applyFill="1" applyBorder="1" applyAlignment="1" applyProtection="1">
      <alignment horizontal="center" vertical="center" wrapText="1"/>
    </xf>
    <xf numFmtId="0" fontId="2" fillId="2" borderId="21" xfId="1" applyFont="1" applyFill="1" applyBorder="1" applyAlignment="1" applyProtection="1">
      <alignment horizontal="center" vertical="center" wrapText="1"/>
    </xf>
    <xf numFmtId="1" fontId="2" fillId="2" borderId="24" xfId="1" applyNumberFormat="1" applyFont="1" applyFill="1" applyBorder="1" applyAlignment="1" applyProtection="1">
      <alignment horizontal="center" vertical="center" wrapText="1"/>
    </xf>
    <xf numFmtId="0" fontId="2" fillId="2" borderId="24" xfId="1" applyFont="1" applyFill="1" applyBorder="1" applyAlignment="1" applyProtection="1">
      <alignment horizontal="center" vertical="center" wrapText="1"/>
    </xf>
    <xf numFmtId="0" fontId="2" fillId="2" borderId="36" xfId="1" applyFont="1" applyFill="1" applyBorder="1" applyAlignment="1" applyProtection="1">
      <alignment horizontal="center" vertical="center" wrapText="1"/>
    </xf>
    <xf numFmtId="10" fontId="2" fillId="2" borderId="24" xfId="6" applyNumberFormat="1" applyFont="1" applyFill="1" applyBorder="1" applyAlignment="1" applyProtection="1">
      <alignment horizontal="center" vertical="center" wrapText="1"/>
    </xf>
    <xf numFmtId="1" fontId="8" fillId="2" borderId="39" xfId="1" applyNumberFormat="1" applyFont="1" applyFill="1" applyBorder="1" applyAlignment="1" applyProtection="1">
      <alignment horizontal="center" vertical="center" wrapText="1"/>
    </xf>
    <xf numFmtId="1" fontId="8" fillId="2" borderId="17" xfId="1" applyNumberFormat="1" applyFont="1" applyFill="1" applyBorder="1" applyAlignment="1" applyProtection="1">
      <alignment horizontal="center" vertical="center" wrapText="1"/>
    </xf>
    <xf numFmtId="1" fontId="8" fillId="2" borderId="7" xfId="1" applyNumberFormat="1" applyFont="1" applyFill="1" applyBorder="1" applyAlignment="1" applyProtection="1">
      <alignment horizontal="center" vertical="center" wrapText="1"/>
    </xf>
    <xf numFmtId="1" fontId="8" fillId="2" borderId="2" xfId="1" applyNumberFormat="1" applyFont="1" applyFill="1" applyBorder="1" applyAlignment="1" applyProtection="1">
      <alignment horizontal="center" vertical="center" wrapText="1"/>
    </xf>
    <xf numFmtId="2" fontId="7" fillId="2" borderId="17" xfId="1" applyNumberFormat="1" applyFont="1" applyFill="1" applyBorder="1" applyAlignment="1" applyProtection="1">
      <alignment horizontal="center" vertical="center"/>
    </xf>
    <xf numFmtId="2" fontId="7" fillId="2" borderId="2" xfId="1" applyNumberFormat="1" applyFont="1" applyFill="1" applyBorder="1" applyAlignment="1" applyProtection="1">
      <alignment horizontal="center" vertical="center"/>
    </xf>
    <xf numFmtId="2" fontId="7" fillId="2" borderId="1" xfId="1" applyNumberFormat="1" applyFont="1" applyFill="1" applyBorder="1" applyAlignment="1" applyProtection="1">
      <alignment horizontal="center" vertical="center"/>
    </xf>
    <xf numFmtId="2" fontId="7" fillId="2" borderId="40" xfId="1" applyNumberFormat="1" applyFont="1" applyFill="1" applyBorder="1" applyAlignment="1" applyProtection="1">
      <alignment horizontal="center" vertical="center"/>
    </xf>
    <xf numFmtId="2" fontId="7" fillId="2" borderId="31" xfId="1" applyNumberFormat="1" applyFont="1" applyFill="1" applyBorder="1" applyAlignment="1" applyProtection="1">
      <alignment horizontal="center" vertical="center"/>
    </xf>
    <xf numFmtId="2" fontId="7" fillId="2" borderId="13" xfId="1" applyNumberFormat="1" applyFont="1" applyFill="1" applyBorder="1" applyAlignment="1" applyProtection="1">
      <alignment horizontal="center" vertical="center"/>
    </xf>
    <xf numFmtId="165" fontId="2" fillId="2" borderId="1" xfId="4" applyNumberFormat="1" applyFont="1" applyFill="1" applyBorder="1" applyAlignment="1" applyProtection="1">
      <alignment horizontal="center" vertical="center" wrapText="1"/>
    </xf>
    <xf numFmtId="165" fontId="2" fillId="2" borderId="3" xfId="4" applyNumberFormat="1" applyFont="1" applyFill="1" applyBorder="1" applyAlignment="1" applyProtection="1">
      <alignment horizontal="center" vertical="center" wrapText="1"/>
    </xf>
    <xf numFmtId="167" fontId="2" fillId="2" borderId="1" xfId="6" applyNumberFormat="1" applyFont="1" applyFill="1" applyBorder="1" applyAlignment="1" applyProtection="1">
      <alignment horizontal="center" vertical="center" wrapText="1"/>
    </xf>
    <xf numFmtId="167" fontId="2" fillId="2" borderId="3" xfId="6" applyNumberFormat="1" applyFont="1" applyFill="1" applyBorder="1" applyAlignment="1" applyProtection="1">
      <alignment horizontal="center" vertical="center" wrapText="1"/>
    </xf>
    <xf numFmtId="1" fontId="8" fillId="2" borderId="8" xfId="1" applyNumberFormat="1" applyFont="1" applyFill="1" applyBorder="1" applyAlignment="1" applyProtection="1">
      <alignment horizontal="center" vertical="center" wrapText="1"/>
    </xf>
    <xf numFmtId="1" fontId="8" fillId="2" borderId="10" xfId="1" applyNumberFormat="1" applyFont="1" applyFill="1" applyBorder="1" applyAlignment="1" applyProtection="1">
      <alignment horizontal="center" vertical="center" wrapText="1"/>
    </xf>
    <xf numFmtId="2" fontId="7" fillId="2" borderId="10" xfId="1" applyNumberFormat="1" applyFont="1" applyFill="1" applyBorder="1" applyAlignment="1" applyProtection="1">
      <alignment horizontal="center" vertical="center"/>
    </xf>
    <xf numFmtId="0" fontId="2" fillId="2" borderId="22" xfId="1" applyFont="1" applyFill="1" applyBorder="1" applyAlignment="1" applyProtection="1">
      <alignment horizontal="center" vertical="center" wrapText="1"/>
    </xf>
    <xf numFmtId="1" fontId="2" fillId="2" borderId="34" xfId="1" applyNumberFormat="1" applyFont="1" applyFill="1" applyBorder="1" applyAlignment="1" applyProtection="1">
      <alignment horizontal="center" vertical="center" wrapText="1"/>
    </xf>
    <xf numFmtId="1" fontId="2" fillId="2" borderId="38" xfId="1" applyNumberFormat="1" applyFont="1" applyFill="1" applyBorder="1" applyAlignment="1" applyProtection="1">
      <alignment horizontal="center" vertical="center" wrapText="1"/>
    </xf>
    <xf numFmtId="1" fontId="2" fillId="2" borderId="32" xfId="1" applyNumberFormat="1" applyFont="1" applyFill="1" applyBorder="1" applyAlignment="1" applyProtection="1">
      <alignment horizontal="center" vertical="center" wrapText="1"/>
    </xf>
    <xf numFmtId="1" fontId="8" fillId="2" borderId="9" xfId="1" applyNumberFormat="1" applyFont="1" applyFill="1" applyBorder="1" applyAlignment="1" applyProtection="1">
      <alignment horizontal="center" vertical="center" wrapText="1"/>
    </xf>
    <xf numFmtId="1" fontId="8" fillId="2" borderId="3" xfId="1" applyNumberFormat="1" applyFont="1" applyFill="1" applyBorder="1" applyAlignment="1" applyProtection="1">
      <alignment horizontal="center" vertical="center" wrapText="1"/>
    </xf>
    <xf numFmtId="2" fontId="7" fillId="2" borderId="28" xfId="1" applyNumberFormat="1" applyFont="1" applyFill="1" applyBorder="1" applyAlignment="1" applyProtection="1">
      <alignment horizontal="center" vertical="center"/>
    </xf>
    <xf numFmtId="2" fontId="7" fillId="2" borderId="4" xfId="1" applyNumberFormat="1" applyFont="1" applyFill="1" applyBorder="1" applyAlignment="1" applyProtection="1">
      <alignment horizontal="center" vertical="center"/>
    </xf>
    <xf numFmtId="2" fontId="7" fillId="2" borderId="27" xfId="1" applyNumberFormat="1" applyFont="1" applyFill="1" applyBorder="1" applyAlignment="1" applyProtection="1">
      <alignment horizontal="center" vertical="center"/>
    </xf>
    <xf numFmtId="2" fontId="7" fillId="2" borderId="16" xfId="1" applyNumberFormat="1" applyFont="1" applyFill="1" applyBorder="1" applyAlignment="1" applyProtection="1">
      <alignment horizontal="center" vertical="center"/>
    </xf>
    <xf numFmtId="2" fontId="7" fillId="2" borderId="29" xfId="1" applyNumberFormat="1" applyFont="1" applyFill="1" applyBorder="1" applyAlignment="1" applyProtection="1">
      <alignment horizontal="center" vertical="center"/>
    </xf>
    <xf numFmtId="2" fontId="7" fillId="2" borderId="12" xfId="1" applyNumberFormat="1" applyFont="1" applyFill="1" applyBorder="1" applyAlignment="1" applyProtection="1">
      <alignment horizontal="center" vertical="center"/>
    </xf>
    <xf numFmtId="0" fontId="1" fillId="2" borderId="24" xfId="1" applyFont="1" applyFill="1" applyBorder="1" applyAlignment="1" applyProtection="1">
      <alignment horizontal="center" vertical="center" wrapText="1"/>
    </xf>
    <xf numFmtId="2" fontId="7" fillId="2" borderId="25" xfId="1" applyNumberFormat="1" applyFont="1" applyFill="1" applyBorder="1" applyAlignment="1" applyProtection="1">
      <alignment horizontal="center" vertical="center"/>
    </xf>
    <xf numFmtId="1" fontId="8" fillId="2" borderId="11" xfId="1" applyNumberFormat="1" applyFont="1" applyFill="1" applyBorder="1" applyAlignment="1" applyProtection="1">
      <alignment horizontal="center" vertical="center" wrapText="1"/>
    </xf>
    <xf numFmtId="1" fontId="8" fillId="2" borderId="1" xfId="1" applyNumberFormat="1" applyFont="1" applyFill="1" applyBorder="1" applyAlignment="1" applyProtection="1">
      <alignment horizontal="center" vertical="center" wrapText="1"/>
    </xf>
    <xf numFmtId="2" fontId="7" fillId="2" borderId="23" xfId="1" applyNumberFormat="1" applyFont="1" applyFill="1" applyBorder="1" applyAlignment="1" applyProtection="1">
      <alignment horizontal="center" vertical="center"/>
    </xf>
    <xf numFmtId="1" fontId="8" fillId="2" borderId="35" xfId="1" applyNumberFormat="1" applyFont="1" applyFill="1" applyBorder="1" applyAlignment="1" applyProtection="1">
      <alignment horizontal="center" vertical="center" wrapText="1"/>
    </xf>
    <xf numFmtId="1" fontId="8" fillId="2" borderId="33" xfId="1" applyNumberFormat="1" applyFont="1" applyFill="1" applyBorder="1" applyAlignment="1" applyProtection="1">
      <alignment horizontal="center" vertical="center" wrapText="1"/>
    </xf>
    <xf numFmtId="1" fontId="8" fillId="2" borderId="34" xfId="1" applyNumberFormat="1" applyFont="1" applyFill="1" applyBorder="1" applyAlignment="1" applyProtection="1">
      <alignment horizontal="center" vertical="center" wrapText="1"/>
    </xf>
    <xf numFmtId="2" fontId="7" fillId="2" borderId="3" xfId="1" applyNumberFormat="1" applyFont="1" applyFill="1" applyBorder="1" applyAlignment="1" applyProtection="1">
      <alignment horizontal="center" vertical="center"/>
    </xf>
    <xf numFmtId="2" fontId="7" fillId="2" borderId="26" xfId="1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justify" vertical="center" wrapText="1"/>
    </xf>
    <xf numFmtId="0" fontId="14" fillId="0" borderId="10" xfId="0" applyFont="1" applyFill="1" applyBorder="1" applyAlignment="1">
      <alignment horizontal="justify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2" fontId="2" fillId="2" borderId="8" xfId="1" applyNumberFormat="1" applyFont="1" applyFill="1" applyBorder="1" applyAlignment="1" applyProtection="1">
      <alignment horizontal="center" vertical="center" wrapText="1"/>
    </xf>
  </cellXfs>
  <cellStyles count="16">
    <cellStyle name="Comma" xfId="5" builtinId="3"/>
    <cellStyle name="Comma 10" xfId="12"/>
    <cellStyle name="Comma 2" xfId="13"/>
    <cellStyle name="Comma 2 2" xfId="15"/>
    <cellStyle name="Comma 2 2 2" xfId="2"/>
    <cellStyle name="Comma 4 2" xfId="3"/>
    <cellStyle name="Comma 7 2 2" xfId="4"/>
    <cellStyle name="Comma 9" xfId="14"/>
    <cellStyle name="Normal" xfId="0" builtinId="0"/>
    <cellStyle name="Normal 14 2" xfId="1"/>
    <cellStyle name="Normal 2" xfId="10"/>
    <cellStyle name="Normal 3" xfId="11"/>
    <cellStyle name="Percent 3 2" xfId="8"/>
    <cellStyle name="Percent 5 2 2" xfId="6"/>
    <cellStyle name="Финансовый 2 2" xfId="9"/>
    <cellStyle name="Финансовый 4 2" xfId="7"/>
  </cellStyles>
  <dxfs count="5"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ayane/Gayane_official/save/VTB-verjnakan/VTB_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2014"/>
      <sheetName val="VTB kanxatesum"/>
      <sheetName val="Report 2013,2015"/>
      <sheetName val="Sheet2"/>
      <sheetName val="VTB"/>
      <sheetName val="Report 2012"/>
      <sheetName val="Sheet1"/>
      <sheetName val="Report 2011"/>
      <sheetName val="Report 2010"/>
      <sheetName val="Report 2009"/>
      <sheetName val="Report 2008"/>
      <sheetName val="VTB hamemat"/>
      <sheetName val="VTB budg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zoomScaleNormal="100" workbookViewId="0">
      <selection sqref="A1:G1"/>
    </sheetView>
  </sheetViews>
  <sheetFormatPr defaultRowHeight="15" x14ac:dyDescent="0.25"/>
  <cols>
    <col min="1" max="1" width="21.28515625" customWidth="1"/>
    <col min="2" max="2" width="33.85546875" customWidth="1"/>
    <col min="3" max="3" width="33.7109375" customWidth="1"/>
    <col min="4" max="4" width="14.42578125" customWidth="1"/>
    <col min="5" max="5" width="11.42578125" hidden="1" customWidth="1"/>
    <col min="6" max="6" width="18" hidden="1" customWidth="1"/>
    <col min="7" max="7" width="18.5703125" customWidth="1"/>
    <col min="8" max="8" width="15" customWidth="1"/>
    <col min="12" max="12" width="10.140625" bestFit="1" customWidth="1"/>
    <col min="13" max="13" width="15.42578125" bestFit="1" customWidth="1"/>
  </cols>
  <sheetData>
    <row r="1" spans="1:13" ht="81" customHeight="1" x14ac:dyDescent="0.3">
      <c r="A1" s="185" t="s">
        <v>16</v>
      </c>
      <c r="B1" s="185"/>
      <c r="C1" s="185"/>
      <c r="D1" s="185"/>
      <c r="E1" s="185"/>
      <c r="F1" s="185"/>
      <c r="G1" s="185"/>
    </row>
    <row r="2" spans="1:13" ht="81" customHeight="1" x14ac:dyDescent="0.25">
      <c r="A2" s="1" t="s">
        <v>0</v>
      </c>
      <c r="B2" s="1" t="s">
        <v>1</v>
      </c>
      <c r="C2" s="2" t="s">
        <v>2</v>
      </c>
      <c r="D2" s="2" t="s">
        <v>15</v>
      </c>
      <c r="E2" s="3" t="s">
        <v>3</v>
      </c>
      <c r="F2" s="4">
        <f>3047000000+3000000000</f>
        <v>6047000000</v>
      </c>
      <c r="G2" s="6">
        <v>6000000000</v>
      </c>
    </row>
    <row r="3" spans="1:13" ht="99.75" customHeight="1" x14ac:dyDescent="0.25">
      <c r="A3" s="1" t="s">
        <v>4</v>
      </c>
      <c r="B3" s="1" t="s">
        <v>5</v>
      </c>
      <c r="C3" s="2" t="s">
        <v>14</v>
      </c>
      <c r="D3" s="2" t="s">
        <v>6</v>
      </c>
      <c r="E3" s="3" t="s">
        <v>3</v>
      </c>
      <c r="F3" s="7">
        <f>2000000000+7300000000</f>
        <v>9300000000</v>
      </c>
      <c r="G3" s="5">
        <v>9024295000</v>
      </c>
      <c r="L3" s="9"/>
      <c r="M3" s="10"/>
    </row>
    <row r="4" spans="1:13" ht="117" customHeight="1" x14ac:dyDescent="0.25">
      <c r="A4" s="1" t="s">
        <v>4</v>
      </c>
      <c r="B4" s="1" t="s">
        <v>7</v>
      </c>
      <c r="C4" s="2" t="s">
        <v>17</v>
      </c>
      <c r="D4" s="2" t="s">
        <v>8</v>
      </c>
      <c r="E4" s="3" t="s">
        <v>3</v>
      </c>
      <c r="F4" s="7">
        <v>562500000</v>
      </c>
      <c r="G4" s="7">
        <v>562500000</v>
      </c>
      <c r="L4" s="11"/>
      <c r="M4" s="11"/>
    </row>
    <row r="5" spans="1:13" ht="78" customHeight="1" x14ac:dyDescent="0.25">
      <c r="A5" s="183" t="s">
        <v>0</v>
      </c>
      <c r="B5" s="183" t="s">
        <v>9</v>
      </c>
      <c r="C5" s="2" t="s">
        <v>10</v>
      </c>
      <c r="D5" s="2" t="s">
        <v>11</v>
      </c>
      <c r="E5" s="3" t="s">
        <v>3</v>
      </c>
      <c r="F5" s="6">
        <v>2000000000</v>
      </c>
      <c r="G5" s="6">
        <v>2000000000</v>
      </c>
    </row>
    <row r="6" spans="1:13" ht="126.75" customHeight="1" x14ac:dyDescent="0.25">
      <c r="A6" s="184"/>
      <c r="B6" s="184"/>
      <c r="C6" s="8" t="s">
        <v>12</v>
      </c>
      <c r="D6" s="8" t="s">
        <v>13</v>
      </c>
      <c r="E6" s="3" t="s">
        <v>3</v>
      </c>
      <c r="F6" s="7">
        <v>2000000000</v>
      </c>
      <c r="G6" s="7">
        <v>2000000000</v>
      </c>
    </row>
  </sheetData>
  <mergeCells count="3">
    <mergeCell ref="A5:A6"/>
    <mergeCell ref="B5:B6"/>
    <mergeCell ref="A1:G1"/>
  </mergeCell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58"/>
  <sheetViews>
    <sheetView tabSelected="1" zoomScale="93" zoomScaleNormal="93" workbookViewId="0">
      <pane xSplit="2" ySplit="4" topLeftCell="C134" activePane="bottomRight" state="frozen"/>
      <selection pane="topRight" activeCell="C1" sqref="C1"/>
      <selection pane="bottomLeft" activeCell="A5" sqref="A5"/>
      <selection pane="bottomRight" activeCell="F146" sqref="F146"/>
    </sheetView>
  </sheetViews>
  <sheetFormatPr defaultRowHeight="13.5" outlineLevelRow="1" x14ac:dyDescent="0.25"/>
  <cols>
    <col min="1" max="1" width="6.85546875" style="25" customWidth="1"/>
    <col min="2" max="2" width="23.7109375" style="63" customWidth="1"/>
    <col min="3" max="3" width="23.42578125" style="25" customWidth="1"/>
    <col min="4" max="4" width="16.140625" style="25" customWidth="1"/>
    <col min="5" max="5" width="18.85546875" style="113" customWidth="1"/>
    <col min="6" max="6" width="20.140625" style="25" customWidth="1"/>
    <col min="7" max="7" width="16.42578125" style="25" bestFit="1" customWidth="1"/>
    <col min="8" max="8" width="19.7109375" style="25" customWidth="1"/>
    <col min="9" max="9" width="20.28515625" style="25" customWidth="1"/>
    <col min="10" max="10" width="21.7109375" style="116" customWidth="1"/>
    <col min="11" max="11" width="18.5703125" style="25" customWidth="1"/>
    <col min="12" max="12" width="17.7109375" style="25" bestFit="1" customWidth="1"/>
    <col min="13" max="13" width="26.7109375" style="25" bestFit="1" customWidth="1"/>
    <col min="14" max="14" width="26.42578125" style="25" customWidth="1"/>
    <col min="15" max="15" width="23.5703125" style="24" customWidth="1"/>
    <col min="16" max="16" width="21.85546875" style="25" customWidth="1"/>
    <col min="17" max="16384" width="9.140625" style="25"/>
  </cols>
  <sheetData>
    <row r="1" spans="1:16" ht="22.5" x14ac:dyDescent="0.4">
      <c r="A1" s="186" t="s">
        <v>18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</row>
    <row r="2" spans="1:16" ht="49.5" customHeight="1" x14ac:dyDescent="0.4">
      <c r="A2" s="187" t="s">
        <v>453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</row>
    <row r="3" spans="1:16" ht="14.25" thickBot="1" x14ac:dyDescent="0.3">
      <c r="A3" s="64"/>
      <c r="C3" s="64"/>
      <c r="D3" s="64"/>
      <c r="E3" s="65"/>
      <c r="F3" s="64"/>
      <c r="G3" s="64"/>
      <c r="H3" s="64"/>
      <c r="I3" s="64"/>
      <c r="J3" s="66"/>
      <c r="K3" s="64"/>
      <c r="L3" s="64"/>
      <c r="M3" s="64"/>
      <c r="N3" s="64"/>
    </row>
    <row r="4" spans="1:16" s="27" customFormat="1" ht="114" customHeight="1" thickBot="1" x14ac:dyDescent="0.3">
      <c r="A4" s="32" t="s">
        <v>19</v>
      </c>
      <c r="B4" s="33" t="s">
        <v>20</v>
      </c>
      <c r="C4" s="33" t="s">
        <v>21</v>
      </c>
      <c r="D4" s="33" t="s">
        <v>22</v>
      </c>
      <c r="E4" s="33" t="s">
        <v>315</v>
      </c>
      <c r="F4" s="33" t="s">
        <v>307</v>
      </c>
      <c r="G4" s="33" t="s">
        <v>23</v>
      </c>
      <c r="H4" s="33" t="s">
        <v>24</v>
      </c>
      <c r="I4" s="33" t="s">
        <v>25</v>
      </c>
      <c r="J4" s="34" t="s">
        <v>26</v>
      </c>
      <c r="K4" s="33" t="s">
        <v>27</v>
      </c>
      <c r="L4" s="33" t="s">
        <v>28</v>
      </c>
      <c r="M4" s="33" t="s">
        <v>29</v>
      </c>
      <c r="N4" s="35" t="s">
        <v>30</v>
      </c>
      <c r="O4" s="26"/>
    </row>
    <row r="5" spans="1:16" ht="60" customHeight="1" outlineLevel="1" x14ac:dyDescent="0.25">
      <c r="A5" s="188">
        <v>1</v>
      </c>
      <c r="B5" s="190" t="s">
        <v>31</v>
      </c>
      <c r="C5" s="36" t="s">
        <v>32</v>
      </c>
      <c r="D5" s="192" t="s">
        <v>33</v>
      </c>
      <c r="E5" s="194" t="s">
        <v>316</v>
      </c>
      <c r="F5" s="142" t="s">
        <v>34</v>
      </c>
      <c r="G5" s="38" t="s">
        <v>35</v>
      </c>
      <c r="H5" s="154">
        <v>7300000</v>
      </c>
      <c r="I5" s="39">
        <f>5822389.5+13412.1+4470.7+716451.75+24588.85+716451.75+2235.35</f>
        <v>7299999.9999999991</v>
      </c>
      <c r="J5" s="37" t="s">
        <v>36</v>
      </c>
      <c r="K5" s="39">
        <f>595000+119000+119000+119000</f>
        <v>952000</v>
      </c>
      <c r="L5" s="39">
        <f>533233.16+25143.75+24697.5+24251.25</f>
        <v>607325.66</v>
      </c>
      <c r="M5" s="154">
        <f t="shared" ref="M5:M33" si="0">I5-K5</f>
        <v>6347999.9999999991</v>
      </c>
      <c r="N5" s="137" t="s">
        <v>37</v>
      </c>
      <c r="P5" s="24"/>
    </row>
    <row r="6" spans="1:16" ht="75.75" customHeight="1" outlineLevel="1" x14ac:dyDescent="0.25">
      <c r="A6" s="189"/>
      <c r="B6" s="191"/>
      <c r="C6" s="40" t="s">
        <v>38</v>
      </c>
      <c r="D6" s="193"/>
      <c r="E6" s="195"/>
      <c r="F6" s="159" t="s">
        <v>39</v>
      </c>
      <c r="G6" s="43" t="s">
        <v>35</v>
      </c>
      <c r="H6" s="39">
        <v>7300000</v>
      </c>
      <c r="I6" s="39">
        <v>7299999.9999999981</v>
      </c>
      <c r="J6" s="163" t="s">
        <v>40</v>
      </c>
      <c r="K6" s="39">
        <f>5474999.9+304166.7+304166.7+304166.7</f>
        <v>6387500.0000000009</v>
      </c>
      <c r="L6" s="39">
        <f>1148728.76+25208.75+21007.3+16805.75</f>
        <v>1211750.56</v>
      </c>
      <c r="M6" s="39">
        <f t="shared" si="0"/>
        <v>912499.99999999721</v>
      </c>
      <c r="N6" s="126" t="s">
        <v>41</v>
      </c>
      <c r="P6" s="24"/>
    </row>
    <row r="7" spans="1:16" ht="64.5" customHeight="1" outlineLevel="1" x14ac:dyDescent="0.25">
      <c r="A7" s="156">
        <v>2</v>
      </c>
      <c r="B7" s="157" t="s">
        <v>31</v>
      </c>
      <c r="C7" s="157" t="s">
        <v>42</v>
      </c>
      <c r="D7" s="159" t="s">
        <v>33</v>
      </c>
      <c r="E7" s="158" t="s">
        <v>317</v>
      </c>
      <c r="F7" s="159" t="s">
        <v>43</v>
      </c>
      <c r="G7" s="43" t="s">
        <v>35</v>
      </c>
      <c r="H7" s="39">
        <v>14060526.73</v>
      </c>
      <c r="I7" s="39">
        <v>14060526.73</v>
      </c>
      <c r="J7" s="44">
        <v>7.4999999999999997E-3</v>
      </c>
      <c r="K7" s="39">
        <f>5858552.73979552+234342.1+234342.1+98055764.9/418.43</f>
        <v>6561579.0397883495</v>
      </c>
      <c r="L7" s="39">
        <f>1294472.69934396+40254.3+39195.3+16095956/418.43</f>
        <v>1412389.799284213</v>
      </c>
      <c r="M7" s="39">
        <f t="shared" si="0"/>
        <v>7498947.6902116509</v>
      </c>
      <c r="N7" s="126" t="s">
        <v>37</v>
      </c>
      <c r="P7" s="24"/>
    </row>
    <row r="8" spans="1:16" ht="67.5" outlineLevel="1" x14ac:dyDescent="0.25">
      <c r="A8" s="156">
        <v>3</v>
      </c>
      <c r="B8" s="157" t="s">
        <v>31</v>
      </c>
      <c r="C8" s="157" t="s">
        <v>44</v>
      </c>
      <c r="D8" s="159" t="s">
        <v>33</v>
      </c>
      <c r="E8" s="158" t="s">
        <v>318</v>
      </c>
      <c r="F8" s="159" t="s">
        <v>45</v>
      </c>
      <c r="G8" s="43" t="s">
        <v>35</v>
      </c>
      <c r="H8" s="39">
        <v>75000000</v>
      </c>
      <c r="I8" s="39"/>
      <c r="J8" s="44" t="s">
        <v>46</v>
      </c>
      <c r="K8" s="39"/>
      <c r="L8" s="39">
        <f>1932812.5+93750+93750+93750</f>
        <v>2214062.5</v>
      </c>
      <c r="M8" s="39">
        <f t="shared" si="0"/>
        <v>0</v>
      </c>
      <c r="N8" s="126" t="s">
        <v>41</v>
      </c>
      <c r="P8" s="24"/>
    </row>
    <row r="9" spans="1:16" ht="57.75" customHeight="1" outlineLevel="1" x14ac:dyDescent="0.25">
      <c r="A9" s="198">
        <v>4</v>
      </c>
      <c r="B9" s="199" t="s">
        <v>31</v>
      </c>
      <c r="C9" s="199" t="s">
        <v>44</v>
      </c>
      <c r="D9" s="159" t="s">
        <v>33</v>
      </c>
      <c r="E9" s="200" t="s">
        <v>318</v>
      </c>
      <c r="F9" s="201" t="s">
        <v>47</v>
      </c>
      <c r="G9" s="43" t="s">
        <v>35</v>
      </c>
      <c r="H9" s="39">
        <v>10200000</v>
      </c>
      <c r="I9" s="39">
        <f>1075381.69+59500</f>
        <v>1134881.69</v>
      </c>
      <c r="J9" s="202" t="s">
        <v>36</v>
      </c>
      <c r="K9" s="39">
        <v>0</v>
      </c>
      <c r="L9" s="39">
        <f>200690.672577969+15587.2+6522152.1/418.43</f>
        <v>231865.07258752856</v>
      </c>
      <c r="M9" s="39">
        <f>I9-K9</f>
        <v>1134881.69</v>
      </c>
      <c r="N9" s="196" t="s">
        <v>41</v>
      </c>
      <c r="P9" s="24"/>
    </row>
    <row r="10" spans="1:16" ht="57.75" customHeight="1" outlineLevel="1" x14ac:dyDescent="0.25">
      <c r="A10" s="188"/>
      <c r="B10" s="191"/>
      <c r="C10" s="191"/>
      <c r="D10" s="159"/>
      <c r="E10" s="194"/>
      <c r="F10" s="192"/>
      <c r="G10" s="43" t="s">
        <v>3</v>
      </c>
      <c r="H10" s="39"/>
      <c r="I10" s="39">
        <v>244081445</v>
      </c>
      <c r="J10" s="203"/>
      <c r="K10" s="39"/>
      <c r="L10" s="39">
        <f>9774294.3+915305.4</f>
        <v>10689599.700000001</v>
      </c>
      <c r="M10" s="39">
        <f>I10-K10</f>
        <v>244081445</v>
      </c>
      <c r="N10" s="197"/>
      <c r="P10" s="24"/>
    </row>
    <row r="11" spans="1:16" ht="76.5" customHeight="1" outlineLevel="1" x14ac:dyDescent="0.25">
      <c r="A11" s="198">
        <v>5</v>
      </c>
      <c r="B11" s="199" t="s">
        <v>31</v>
      </c>
      <c r="C11" s="199" t="s">
        <v>48</v>
      </c>
      <c r="D11" s="159"/>
      <c r="E11" s="200" t="s">
        <v>319</v>
      </c>
      <c r="F11" s="201" t="s">
        <v>49</v>
      </c>
      <c r="G11" s="43" t="s">
        <v>35</v>
      </c>
      <c r="H11" s="39">
        <v>10000000</v>
      </c>
      <c r="I11" s="39"/>
      <c r="J11" s="202" t="s">
        <v>50</v>
      </c>
      <c r="K11" s="39"/>
      <c r="L11" s="39">
        <v>50000</v>
      </c>
      <c r="M11" s="39">
        <f>I11-K11</f>
        <v>0</v>
      </c>
      <c r="N11" s="196" t="s">
        <v>51</v>
      </c>
      <c r="P11" s="24"/>
    </row>
    <row r="12" spans="1:16" ht="76.5" customHeight="1" outlineLevel="1" x14ac:dyDescent="0.25">
      <c r="A12" s="188"/>
      <c r="B12" s="191"/>
      <c r="C12" s="191"/>
      <c r="D12" s="159"/>
      <c r="E12" s="194"/>
      <c r="F12" s="192"/>
      <c r="G12" s="159" t="s">
        <v>3</v>
      </c>
      <c r="H12" s="39"/>
      <c r="I12" s="39"/>
      <c r="J12" s="203"/>
      <c r="K12" s="39"/>
      <c r="L12" s="39"/>
      <c r="M12" s="39">
        <f t="shared" si="0"/>
        <v>0</v>
      </c>
      <c r="N12" s="197"/>
      <c r="P12" s="24"/>
    </row>
    <row r="13" spans="1:16" ht="76.5" customHeight="1" outlineLevel="1" x14ac:dyDescent="0.25">
      <c r="A13" s="198">
        <v>6</v>
      </c>
      <c r="B13" s="199" t="s">
        <v>31</v>
      </c>
      <c r="C13" s="199" t="s">
        <v>52</v>
      </c>
      <c r="D13" s="159"/>
      <c r="E13" s="200" t="s">
        <v>320</v>
      </c>
      <c r="F13" s="201" t="s">
        <v>53</v>
      </c>
      <c r="G13" s="43" t="s">
        <v>35</v>
      </c>
      <c r="H13" s="39">
        <v>83000000</v>
      </c>
      <c r="I13" s="39"/>
      <c r="J13" s="202">
        <v>1.7999999999999999E-2</v>
      </c>
      <c r="K13" s="39"/>
      <c r="L13" s="39">
        <f>1930326.40003794+103750+103750+103750</f>
        <v>2241576.4000379397</v>
      </c>
      <c r="M13" s="39">
        <f t="shared" si="0"/>
        <v>0</v>
      </c>
      <c r="N13" s="196" t="s">
        <v>41</v>
      </c>
      <c r="P13" s="24"/>
    </row>
    <row r="14" spans="1:16" ht="76.5" customHeight="1" outlineLevel="1" x14ac:dyDescent="0.25">
      <c r="A14" s="188"/>
      <c r="B14" s="191"/>
      <c r="C14" s="191"/>
      <c r="D14" s="159"/>
      <c r="E14" s="194"/>
      <c r="F14" s="192"/>
      <c r="G14" s="159" t="s">
        <v>3</v>
      </c>
      <c r="H14" s="39"/>
      <c r="I14" s="39"/>
      <c r="J14" s="203"/>
      <c r="K14" s="39"/>
      <c r="L14" s="39"/>
      <c r="M14" s="39">
        <f t="shared" si="0"/>
        <v>0</v>
      </c>
      <c r="N14" s="197"/>
      <c r="O14" s="28"/>
      <c r="P14" s="24"/>
    </row>
    <row r="15" spans="1:16" ht="96.75" customHeight="1" outlineLevel="1" x14ac:dyDescent="0.25">
      <c r="A15" s="189">
        <v>7</v>
      </c>
      <c r="B15" s="199" t="s">
        <v>31</v>
      </c>
      <c r="C15" s="199" t="s">
        <v>54</v>
      </c>
      <c r="D15" s="193" t="s">
        <v>55</v>
      </c>
      <c r="E15" s="195" t="s">
        <v>321</v>
      </c>
      <c r="F15" s="193" t="s">
        <v>56</v>
      </c>
      <c r="G15" s="43" t="s">
        <v>57</v>
      </c>
      <c r="H15" s="39">
        <f>35500000-1434414.8</f>
        <v>34065585.200000003</v>
      </c>
      <c r="I15" s="39">
        <v>34065585.200000003</v>
      </c>
      <c r="J15" s="204" t="s">
        <v>389</v>
      </c>
      <c r="K15" s="39">
        <v>3406558.5000878503</v>
      </c>
      <c r="L15" s="39">
        <v>6927866.1493183281</v>
      </c>
      <c r="M15" s="39">
        <f t="shared" si="0"/>
        <v>30659026.699912153</v>
      </c>
      <c r="N15" s="196" t="s">
        <v>58</v>
      </c>
      <c r="O15" s="28"/>
      <c r="P15" s="24"/>
    </row>
    <row r="16" spans="1:16" ht="68.25" customHeight="1" outlineLevel="1" x14ac:dyDescent="0.25">
      <c r="A16" s="189"/>
      <c r="B16" s="191"/>
      <c r="C16" s="191"/>
      <c r="D16" s="193"/>
      <c r="E16" s="195"/>
      <c r="F16" s="193"/>
      <c r="G16" s="159" t="s">
        <v>3</v>
      </c>
      <c r="H16" s="39"/>
      <c r="I16" s="39">
        <v>3680136115.8000002</v>
      </c>
      <c r="J16" s="204"/>
      <c r="K16" s="39">
        <v>387003402.10000002</v>
      </c>
      <c r="L16" s="39">
        <v>743758864.24140716</v>
      </c>
      <c r="M16" s="39">
        <f t="shared" si="0"/>
        <v>3293132713.7000003</v>
      </c>
      <c r="N16" s="197"/>
      <c r="O16" s="28"/>
      <c r="P16" s="24"/>
    </row>
    <row r="17" spans="1:15" s="24" customFormat="1" ht="81" customHeight="1" outlineLevel="1" x14ac:dyDescent="0.25">
      <c r="A17" s="198">
        <v>8</v>
      </c>
      <c r="B17" s="199" t="s">
        <v>31</v>
      </c>
      <c r="C17" s="199" t="s">
        <v>59</v>
      </c>
      <c r="D17" s="201" t="s">
        <v>55</v>
      </c>
      <c r="E17" s="200" t="s">
        <v>322</v>
      </c>
      <c r="F17" s="200" t="s">
        <v>60</v>
      </c>
      <c r="G17" s="43" t="s">
        <v>57</v>
      </c>
      <c r="H17" s="41">
        <f>40000000-2500000-1500000</f>
        <v>36000000</v>
      </c>
      <c r="I17" s="39">
        <v>23693104.149999999</v>
      </c>
      <c r="J17" s="44" t="s">
        <v>389</v>
      </c>
      <c r="K17" s="39">
        <v>0</v>
      </c>
      <c r="L17" s="39">
        <v>2610870.4511588858</v>
      </c>
      <c r="M17" s="39">
        <f t="shared" si="0"/>
        <v>23693104.149999999</v>
      </c>
      <c r="N17" s="196" t="s">
        <v>58</v>
      </c>
      <c r="O17" s="28"/>
    </row>
    <row r="18" spans="1:15" s="24" customFormat="1" ht="39.75" customHeight="1" outlineLevel="1" x14ac:dyDescent="0.25">
      <c r="A18" s="188"/>
      <c r="B18" s="191"/>
      <c r="C18" s="191"/>
      <c r="D18" s="192"/>
      <c r="E18" s="194"/>
      <c r="F18" s="194"/>
      <c r="G18" s="159" t="s">
        <v>3</v>
      </c>
      <c r="H18" s="41"/>
      <c r="I18" s="39">
        <v>1003860134.8000001</v>
      </c>
      <c r="J18" s="44"/>
      <c r="K18" s="39">
        <v>563212.19999999995</v>
      </c>
      <c r="L18" s="39">
        <v>103135336.99999999</v>
      </c>
      <c r="M18" s="39">
        <f t="shared" si="0"/>
        <v>1003296922.6</v>
      </c>
      <c r="N18" s="197"/>
      <c r="O18" s="28"/>
    </row>
    <row r="19" spans="1:15" s="24" customFormat="1" ht="70.5" customHeight="1" outlineLevel="1" x14ac:dyDescent="0.25">
      <c r="A19" s="198">
        <v>9</v>
      </c>
      <c r="B19" s="205" t="s">
        <v>31</v>
      </c>
      <c r="C19" s="199" t="s">
        <v>61</v>
      </c>
      <c r="D19" s="201" t="s">
        <v>55</v>
      </c>
      <c r="E19" s="200" t="s">
        <v>323</v>
      </c>
      <c r="F19" s="200" t="s">
        <v>62</v>
      </c>
      <c r="G19" s="43" t="s">
        <v>57</v>
      </c>
      <c r="H19" s="41">
        <v>23194486</v>
      </c>
      <c r="I19" s="39">
        <v>10838998.780000001</v>
      </c>
      <c r="J19" s="202" t="s">
        <v>389</v>
      </c>
      <c r="K19" s="39">
        <v>0</v>
      </c>
      <c r="L19" s="39">
        <v>1316813.6299491981</v>
      </c>
      <c r="M19" s="39">
        <f t="shared" si="0"/>
        <v>10838998.780000001</v>
      </c>
      <c r="N19" s="196" t="s">
        <v>58</v>
      </c>
      <c r="O19" s="28"/>
    </row>
    <row r="20" spans="1:15" s="24" customFormat="1" ht="39.75" customHeight="1" outlineLevel="1" x14ac:dyDescent="0.25">
      <c r="A20" s="188"/>
      <c r="B20" s="206"/>
      <c r="C20" s="207"/>
      <c r="D20" s="208"/>
      <c r="E20" s="194"/>
      <c r="F20" s="194"/>
      <c r="G20" s="159" t="s">
        <v>3</v>
      </c>
      <c r="H20" s="41"/>
      <c r="I20" s="39">
        <v>1387321853.3</v>
      </c>
      <c r="J20" s="209"/>
      <c r="K20" s="39">
        <v>91463799.799999997</v>
      </c>
      <c r="L20" s="39">
        <v>119885553.69999999</v>
      </c>
      <c r="M20" s="39">
        <f t="shared" si="0"/>
        <v>1295858053.5</v>
      </c>
      <c r="N20" s="197"/>
      <c r="O20" s="28"/>
    </row>
    <row r="21" spans="1:15" s="24" customFormat="1" ht="60" customHeight="1" outlineLevel="1" x14ac:dyDescent="0.25">
      <c r="A21" s="198">
        <v>10</v>
      </c>
      <c r="B21" s="205" t="s">
        <v>63</v>
      </c>
      <c r="C21" s="207"/>
      <c r="D21" s="208"/>
      <c r="E21" s="200" t="s">
        <v>324</v>
      </c>
      <c r="F21" s="200" t="s">
        <v>62</v>
      </c>
      <c r="G21" s="43" t="s">
        <v>57</v>
      </c>
      <c r="H21" s="39">
        <v>16662617.070000002</v>
      </c>
      <c r="I21" s="39">
        <v>16662617.070000002</v>
      </c>
      <c r="J21" s="209"/>
      <c r="K21" s="39"/>
      <c r="L21" s="39">
        <v>2194958.0016193632</v>
      </c>
      <c r="M21" s="39">
        <f t="shared" si="0"/>
        <v>16662617.070000002</v>
      </c>
      <c r="N21" s="196" t="s">
        <v>58</v>
      </c>
      <c r="O21" s="28"/>
    </row>
    <row r="22" spans="1:15" s="24" customFormat="1" ht="40.5" customHeight="1" outlineLevel="1" x14ac:dyDescent="0.25">
      <c r="A22" s="188"/>
      <c r="B22" s="206"/>
      <c r="C22" s="191"/>
      <c r="D22" s="192"/>
      <c r="E22" s="194"/>
      <c r="F22" s="194"/>
      <c r="G22" s="43" t="s">
        <v>3</v>
      </c>
      <c r="H22" s="79"/>
      <c r="I22" s="39">
        <v>2003005775.2</v>
      </c>
      <c r="J22" s="203"/>
      <c r="K22" s="39"/>
      <c r="L22" s="39">
        <v>238604865.80819586</v>
      </c>
      <c r="M22" s="39">
        <f t="shared" si="0"/>
        <v>2003005775.2</v>
      </c>
      <c r="N22" s="197"/>
      <c r="O22" s="28"/>
    </row>
    <row r="23" spans="1:15" s="24" customFormat="1" ht="57.75" customHeight="1" outlineLevel="1" x14ac:dyDescent="0.25">
      <c r="A23" s="198">
        <v>11</v>
      </c>
      <c r="B23" s="205" t="s">
        <v>31</v>
      </c>
      <c r="C23" s="199" t="s">
        <v>64</v>
      </c>
      <c r="D23" s="201" t="s">
        <v>65</v>
      </c>
      <c r="E23" s="200" t="s">
        <v>322</v>
      </c>
      <c r="F23" s="201" t="s">
        <v>66</v>
      </c>
      <c r="G23" s="43" t="s">
        <v>67</v>
      </c>
      <c r="H23" s="67">
        <v>13988153</v>
      </c>
      <c r="I23" s="39">
        <v>8375536.2411363386</v>
      </c>
      <c r="J23" s="202">
        <v>3.1399999999999997E-2</v>
      </c>
      <c r="K23" s="39">
        <v>1430873.6002049374</v>
      </c>
      <c r="L23" s="39">
        <v>1219413.9300609229</v>
      </c>
      <c r="M23" s="39">
        <f t="shared" si="0"/>
        <v>6944662.6409314014</v>
      </c>
      <c r="N23" s="196" t="s">
        <v>58</v>
      </c>
      <c r="O23" s="28"/>
    </row>
    <row r="24" spans="1:15" s="24" customFormat="1" ht="32.25" customHeight="1" outlineLevel="1" x14ac:dyDescent="0.25">
      <c r="A24" s="188"/>
      <c r="B24" s="206"/>
      <c r="C24" s="207"/>
      <c r="D24" s="208"/>
      <c r="E24" s="194"/>
      <c r="F24" s="192"/>
      <c r="G24" s="159" t="s">
        <v>3</v>
      </c>
      <c r="H24" s="68"/>
      <c r="I24" s="39">
        <v>1194787815</v>
      </c>
      <c r="J24" s="203"/>
      <c r="K24" s="39">
        <v>209123295.30000001</v>
      </c>
      <c r="L24" s="39">
        <v>177460224.60000002</v>
      </c>
      <c r="M24" s="39">
        <f t="shared" si="0"/>
        <v>985664519.70000005</v>
      </c>
      <c r="N24" s="197"/>
      <c r="O24" s="28"/>
    </row>
    <row r="25" spans="1:15" s="24" customFormat="1" ht="51.75" customHeight="1" outlineLevel="1" x14ac:dyDescent="0.25">
      <c r="A25" s="198">
        <v>12</v>
      </c>
      <c r="B25" s="205" t="s">
        <v>68</v>
      </c>
      <c r="C25" s="207"/>
      <c r="D25" s="208"/>
      <c r="E25" s="200" t="s">
        <v>325</v>
      </c>
      <c r="F25" s="201" t="s">
        <v>66</v>
      </c>
      <c r="G25" s="43" t="s">
        <v>67</v>
      </c>
      <c r="H25" s="67">
        <v>10098535</v>
      </c>
      <c r="I25" s="39">
        <v>10121386.37101347</v>
      </c>
      <c r="J25" s="202">
        <v>3.1399999999999997E-2</v>
      </c>
      <c r="K25" s="39">
        <v>1520990.1026863856</v>
      </c>
      <c r="L25" s="39">
        <f>832426.027338+83294453/525</f>
        <v>991082.12829038093</v>
      </c>
      <c r="M25" s="39">
        <f t="shared" si="0"/>
        <v>8600396.2683270834</v>
      </c>
      <c r="N25" s="196" t="s">
        <v>58</v>
      </c>
      <c r="O25" s="28"/>
    </row>
    <row r="26" spans="1:15" s="24" customFormat="1" ht="32.25" customHeight="1" outlineLevel="1" x14ac:dyDescent="0.25">
      <c r="A26" s="188"/>
      <c r="B26" s="206"/>
      <c r="C26" s="191"/>
      <c r="D26" s="192"/>
      <c r="E26" s="194"/>
      <c r="F26" s="192"/>
      <c r="G26" s="159" t="s">
        <v>3</v>
      </c>
      <c r="H26" s="68"/>
      <c r="I26" s="39">
        <v>794162455.89999998</v>
      </c>
      <c r="J26" s="203"/>
      <c r="K26" s="39">
        <v>123592049.69999999</v>
      </c>
      <c r="L26" s="39">
        <f>78534680.8</f>
        <v>78534680.799999997</v>
      </c>
      <c r="M26" s="39">
        <f t="shared" si="0"/>
        <v>670570406.20000005</v>
      </c>
      <c r="N26" s="197"/>
      <c r="O26" s="28"/>
    </row>
    <row r="27" spans="1:15" s="24" customFormat="1" ht="48" customHeight="1" outlineLevel="1" x14ac:dyDescent="0.25">
      <c r="A27" s="156">
        <v>13</v>
      </c>
      <c r="B27" s="160" t="s">
        <v>31</v>
      </c>
      <c r="C27" s="211" t="s">
        <v>69</v>
      </c>
      <c r="D27" s="193" t="s">
        <v>70</v>
      </c>
      <c r="E27" s="158" t="s">
        <v>326</v>
      </c>
      <c r="F27" s="159" t="s">
        <v>71</v>
      </c>
      <c r="G27" s="43" t="s">
        <v>57</v>
      </c>
      <c r="H27" s="39">
        <v>19600000</v>
      </c>
      <c r="I27" s="39">
        <v>19419334.870000001</v>
      </c>
      <c r="J27" s="45">
        <v>5.0000000000000001E-3</v>
      </c>
      <c r="K27" s="39">
        <f>9716960.66852489+189584407.5/488.5+172026989.7/443.26+153375144/395.2</f>
        <v>10881245.668524889</v>
      </c>
      <c r="L27" s="39">
        <f>1129921.93024286+16077756.3/488.5+14096288.6/443.26+12233850.7/395.2</f>
        <v>1225591.9303758233</v>
      </c>
      <c r="M27" s="39">
        <f t="shared" si="0"/>
        <v>8538089.2014751118</v>
      </c>
      <c r="N27" s="126" t="s">
        <v>58</v>
      </c>
      <c r="O27" s="28"/>
    </row>
    <row r="28" spans="1:15" s="24" customFormat="1" ht="60" customHeight="1" outlineLevel="1" x14ac:dyDescent="0.25">
      <c r="A28" s="156">
        <v>14</v>
      </c>
      <c r="B28" s="160" t="s">
        <v>68</v>
      </c>
      <c r="C28" s="211"/>
      <c r="D28" s="193"/>
      <c r="E28" s="158" t="s">
        <v>327</v>
      </c>
      <c r="F28" s="159" t="s">
        <v>72</v>
      </c>
      <c r="G28" s="43" t="s">
        <v>57</v>
      </c>
      <c r="H28" s="39">
        <v>297276.53999999998</v>
      </c>
      <c r="I28" s="39">
        <v>297276.53999999998</v>
      </c>
      <c r="J28" s="44" t="s">
        <v>73</v>
      </c>
      <c r="K28" s="39">
        <f>257638.543537781+4361667/440.15+3916234/395.2</f>
        <v>277457.54383200803</v>
      </c>
      <c r="L28" s="39">
        <f>229541.53251276+1912186/489.99+1556591/440.15+1259898/395.2</f>
        <v>240168.53476870238</v>
      </c>
      <c r="M28" s="39">
        <f t="shared" si="0"/>
        <v>19818.996167991951</v>
      </c>
      <c r="N28" s="126" t="s">
        <v>58</v>
      </c>
      <c r="O28" s="28"/>
    </row>
    <row r="29" spans="1:15" s="24" customFormat="1" ht="51" customHeight="1" outlineLevel="1" x14ac:dyDescent="0.25">
      <c r="A29" s="156">
        <v>15</v>
      </c>
      <c r="B29" s="160" t="s">
        <v>68</v>
      </c>
      <c r="C29" s="210" t="s">
        <v>74</v>
      </c>
      <c r="D29" s="193" t="s">
        <v>75</v>
      </c>
      <c r="E29" s="158" t="s">
        <v>328</v>
      </c>
      <c r="F29" s="159" t="s">
        <v>76</v>
      </c>
      <c r="G29" s="159" t="s">
        <v>77</v>
      </c>
      <c r="H29" s="39">
        <v>1571940173.3299999</v>
      </c>
      <c r="I29" s="39">
        <v>1598519063</v>
      </c>
      <c r="J29" s="45">
        <v>1.7999999999999999E-2</v>
      </c>
      <c r="K29" s="39">
        <v>1030178646.5</v>
      </c>
      <c r="L29" s="39">
        <v>226837831.92593718</v>
      </c>
      <c r="M29" s="39">
        <f t="shared" si="0"/>
        <v>568340416.5</v>
      </c>
      <c r="N29" s="126" t="s">
        <v>58</v>
      </c>
      <c r="O29" s="28"/>
    </row>
    <row r="30" spans="1:15" s="24" customFormat="1" ht="41.25" customHeight="1" outlineLevel="1" x14ac:dyDescent="0.25">
      <c r="A30" s="156">
        <v>16</v>
      </c>
      <c r="B30" s="157" t="s">
        <v>78</v>
      </c>
      <c r="C30" s="210"/>
      <c r="D30" s="193"/>
      <c r="E30" s="158" t="s">
        <v>329</v>
      </c>
      <c r="F30" s="159" t="s">
        <v>76</v>
      </c>
      <c r="G30" s="159" t="s">
        <v>77</v>
      </c>
      <c r="H30" s="39">
        <v>3796371795.6700001</v>
      </c>
      <c r="I30" s="39">
        <v>3861444249</v>
      </c>
      <c r="J30" s="45">
        <v>1.7999999999999999E-2</v>
      </c>
      <c r="K30" s="39">
        <v>2513837447.5599999</v>
      </c>
      <c r="L30" s="39">
        <v>553224853.25679886</v>
      </c>
      <c r="M30" s="39">
        <f t="shared" si="0"/>
        <v>1347606801.4400001</v>
      </c>
      <c r="N30" s="126" t="s">
        <v>58</v>
      </c>
      <c r="O30" s="28"/>
    </row>
    <row r="31" spans="1:15" s="24" customFormat="1" ht="33.75" customHeight="1" outlineLevel="1" x14ac:dyDescent="0.25">
      <c r="A31" s="189">
        <v>17</v>
      </c>
      <c r="B31" s="210" t="s">
        <v>79</v>
      </c>
      <c r="C31" s="211" t="s">
        <v>80</v>
      </c>
      <c r="D31" s="193" t="s">
        <v>70</v>
      </c>
      <c r="E31" s="195" t="s">
        <v>330</v>
      </c>
      <c r="F31" s="193" t="s">
        <v>81</v>
      </c>
      <c r="G31" s="43" t="s">
        <v>57</v>
      </c>
      <c r="H31" s="39">
        <v>4846628.13</v>
      </c>
      <c r="I31" s="39">
        <v>4737831.22</v>
      </c>
      <c r="J31" s="44">
        <v>7.4999999999999997E-3</v>
      </c>
      <c r="K31" s="39">
        <v>616176.07927905116</v>
      </c>
      <c r="L31" s="39">
        <v>353441.51612213737</v>
      </c>
      <c r="M31" s="39">
        <f t="shared" si="0"/>
        <v>4121655.1407209486</v>
      </c>
      <c r="N31" s="126" t="s">
        <v>82</v>
      </c>
      <c r="O31" s="28"/>
    </row>
    <row r="32" spans="1:15" s="24" customFormat="1" ht="41.25" customHeight="1" outlineLevel="1" x14ac:dyDescent="0.25">
      <c r="A32" s="189"/>
      <c r="B32" s="210"/>
      <c r="C32" s="211"/>
      <c r="D32" s="193"/>
      <c r="E32" s="195"/>
      <c r="F32" s="193"/>
      <c r="G32" s="159" t="s">
        <v>3</v>
      </c>
      <c r="H32" s="39">
        <v>1740568345.9000001</v>
      </c>
      <c r="I32" s="39">
        <v>1740568345.9000001</v>
      </c>
      <c r="J32" s="44">
        <v>7.4999999999999997E-3</v>
      </c>
      <c r="K32" s="39">
        <v>247100359</v>
      </c>
      <c r="L32" s="39">
        <v>128165336.87365502</v>
      </c>
      <c r="M32" s="39">
        <f t="shared" si="0"/>
        <v>1493467986.9000001</v>
      </c>
      <c r="N32" s="126" t="s">
        <v>82</v>
      </c>
      <c r="O32" s="28"/>
    </row>
    <row r="33" spans="1:16" ht="87" customHeight="1" outlineLevel="1" x14ac:dyDescent="0.25">
      <c r="A33" s="156">
        <v>18</v>
      </c>
      <c r="B33" s="160" t="s">
        <v>83</v>
      </c>
      <c r="C33" s="157" t="s">
        <v>84</v>
      </c>
      <c r="D33" s="159" t="s">
        <v>33</v>
      </c>
      <c r="E33" s="158" t="s">
        <v>331</v>
      </c>
      <c r="F33" s="158" t="s">
        <v>85</v>
      </c>
      <c r="G33" s="43" t="s">
        <v>35</v>
      </c>
      <c r="H33" s="69">
        <v>17895215.550000001</v>
      </c>
      <c r="I33" s="39">
        <v>17895215.550000001</v>
      </c>
      <c r="J33" s="44">
        <v>7.4999999999999997E-3</v>
      </c>
      <c r="K33" s="39">
        <v>7748628.1040287586</v>
      </c>
      <c r="L33" s="39">
        <v>2568161.2848545089</v>
      </c>
      <c r="M33" s="39">
        <f t="shared" si="0"/>
        <v>10146587.445971243</v>
      </c>
      <c r="N33" s="126" t="s">
        <v>58</v>
      </c>
      <c r="O33" s="28"/>
      <c r="P33" s="24"/>
    </row>
    <row r="34" spans="1:16" ht="40.5" customHeight="1" outlineLevel="1" x14ac:dyDescent="0.25">
      <c r="A34" s="189">
        <v>19</v>
      </c>
      <c r="B34" s="205" t="s">
        <v>86</v>
      </c>
      <c r="C34" s="211" t="s">
        <v>87</v>
      </c>
      <c r="D34" s="211" t="s">
        <v>289</v>
      </c>
      <c r="E34" s="211" t="s">
        <v>332</v>
      </c>
      <c r="F34" s="157" t="s">
        <v>88</v>
      </c>
      <c r="G34" s="43" t="s">
        <v>35</v>
      </c>
      <c r="H34" s="47">
        <v>22000000</v>
      </c>
      <c r="I34" s="39">
        <v>21247150.510000002</v>
      </c>
      <c r="J34" s="48" t="s">
        <v>89</v>
      </c>
      <c r="K34" s="39">
        <f>1047000+1047000+1047000+1047000+1047000</f>
        <v>5235000</v>
      </c>
      <c r="L34" s="39">
        <v>1423073.9285955001</v>
      </c>
      <c r="M34" s="154">
        <f>I34-K34</f>
        <v>16012150.510000002</v>
      </c>
      <c r="N34" s="126" t="s">
        <v>90</v>
      </c>
      <c r="O34" s="28"/>
      <c r="P34" s="24"/>
    </row>
    <row r="35" spans="1:16" ht="31.5" customHeight="1" outlineLevel="1" x14ac:dyDescent="0.25">
      <c r="A35" s="189"/>
      <c r="B35" s="212"/>
      <c r="C35" s="211"/>
      <c r="D35" s="211"/>
      <c r="E35" s="211"/>
      <c r="F35" s="157" t="s">
        <v>91</v>
      </c>
      <c r="G35" s="43" t="s">
        <v>35</v>
      </c>
      <c r="H35" s="47">
        <v>14500000</v>
      </c>
      <c r="I35" s="39">
        <v>14491281.059999999</v>
      </c>
      <c r="J35" s="48" t="s">
        <v>36</v>
      </c>
      <c r="K35" s="39">
        <f>241000+241000+241000+241000+241000</f>
        <v>1205000</v>
      </c>
      <c r="L35" s="39">
        <v>471150.5195405666</v>
      </c>
      <c r="M35" s="154">
        <f>I35-K35</f>
        <v>13286281.059999999</v>
      </c>
      <c r="N35" s="126" t="s">
        <v>90</v>
      </c>
      <c r="O35" s="28"/>
      <c r="P35" s="24"/>
    </row>
    <row r="36" spans="1:16" ht="42.75" customHeight="1" outlineLevel="1" x14ac:dyDescent="0.25">
      <c r="A36" s="189"/>
      <c r="B36" s="206"/>
      <c r="C36" s="211"/>
      <c r="D36" s="211"/>
      <c r="E36" s="211"/>
      <c r="F36" s="157" t="s">
        <v>92</v>
      </c>
      <c r="G36" s="43" t="s">
        <v>35</v>
      </c>
      <c r="H36" s="47">
        <v>14500000</v>
      </c>
      <c r="I36" s="39">
        <v>14500000.000000002</v>
      </c>
      <c r="J36" s="48" t="s">
        <v>93</v>
      </c>
      <c r="K36" s="39">
        <f>2519999.6+630000</f>
        <v>3149999.6</v>
      </c>
      <c r="L36" s="39">
        <v>1783905.1174191444</v>
      </c>
      <c r="M36" s="154">
        <f>I36-K36</f>
        <v>11350000.400000002</v>
      </c>
      <c r="N36" s="126" t="s">
        <v>90</v>
      </c>
      <c r="O36" s="28"/>
      <c r="P36" s="24"/>
    </row>
    <row r="37" spans="1:16" ht="94.5" customHeight="1" outlineLevel="1" x14ac:dyDescent="0.25">
      <c r="A37" s="156">
        <v>20</v>
      </c>
      <c r="B37" s="157" t="s">
        <v>94</v>
      </c>
      <c r="C37" s="160" t="s">
        <v>95</v>
      </c>
      <c r="D37" s="159" t="s">
        <v>75</v>
      </c>
      <c r="E37" s="158" t="s">
        <v>333</v>
      </c>
      <c r="F37" s="159" t="s">
        <v>96</v>
      </c>
      <c r="G37" s="159" t="s">
        <v>77</v>
      </c>
      <c r="H37" s="70">
        <v>26409000000</v>
      </c>
      <c r="I37" s="39">
        <v>26399286331</v>
      </c>
      <c r="J37" s="44">
        <v>7.4999999999999997E-3</v>
      </c>
      <c r="K37" s="39">
        <v>6924456331.1683521</v>
      </c>
      <c r="L37" s="39">
        <v>2534923948.0592432</v>
      </c>
      <c r="M37" s="42">
        <f t="shared" ref="M37:M46" si="1">I37-K37</f>
        <v>19474829999.83165</v>
      </c>
      <c r="N37" s="126" t="s">
        <v>97</v>
      </c>
      <c r="O37" s="28"/>
      <c r="P37" s="24"/>
    </row>
    <row r="38" spans="1:16" ht="51.75" customHeight="1" outlineLevel="1" x14ac:dyDescent="0.25">
      <c r="A38" s="156">
        <v>21</v>
      </c>
      <c r="B38" s="160" t="s">
        <v>31</v>
      </c>
      <c r="C38" s="157" t="s">
        <v>98</v>
      </c>
      <c r="D38" s="157" t="s">
        <v>99</v>
      </c>
      <c r="E38" s="158" t="s">
        <v>334</v>
      </c>
      <c r="F38" s="159" t="s">
        <v>100</v>
      </c>
      <c r="G38" s="43" t="s">
        <v>57</v>
      </c>
      <c r="H38" s="39">
        <v>8988290</v>
      </c>
      <c r="I38" s="39">
        <v>8988290</v>
      </c>
      <c r="J38" s="45">
        <v>5.0000000000000001E-3</v>
      </c>
      <c r="K38" s="39">
        <f>4199999.97+600000+600000+289644000/482.74+290820000/484.7+286458000/477.43+600000+600000+231939215.4/394.26</f>
        <v>8988289.9699999988</v>
      </c>
      <c r="L38" s="39">
        <f>838542.942447016+522591.6/394.26</f>
        <v>839868.44237092405</v>
      </c>
      <c r="M38" s="42">
        <f t="shared" si="1"/>
        <v>3.0000001192092896E-2</v>
      </c>
      <c r="N38" s="126" t="s">
        <v>82</v>
      </c>
      <c r="O38" s="28"/>
      <c r="P38" s="24"/>
    </row>
    <row r="39" spans="1:16" ht="63.75" customHeight="1" outlineLevel="1" x14ac:dyDescent="0.25">
      <c r="A39" s="156">
        <v>22</v>
      </c>
      <c r="B39" s="160" t="s">
        <v>101</v>
      </c>
      <c r="C39" s="157" t="s">
        <v>98</v>
      </c>
      <c r="D39" s="157" t="s">
        <v>102</v>
      </c>
      <c r="E39" s="49" t="s">
        <v>335</v>
      </c>
      <c r="F39" s="39" t="s">
        <v>103</v>
      </c>
      <c r="G39" s="46" t="s">
        <v>3</v>
      </c>
      <c r="H39" s="39">
        <v>1757100000</v>
      </c>
      <c r="I39" s="39">
        <v>1757100000</v>
      </c>
      <c r="J39" s="44">
        <v>7.4999999999999997E-3</v>
      </c>
      <c r="K39" s="39">
        <f>439275000+62753571.5+62753571.5+62753571.3+62753571.4+62753571.4+62753571.4+62753571.5</f>
        <v>878549999.99999988</v>
      </c>
      <c r="L39" s="39">
        <v>303383430.5</v>
      </c>
      <c r="M39" s="42">
        <f t="shared" si="1"/>
        <v>878550000.00000012</v>
      </c>
      <c r="N39" s="126" t="s">
        <v>82</v>
      </c>
      <c r="O39" s="28"/>
      <c r="P39" s="24"/>
    </row>
    <row r="40" spans="1:16" ht="63.75" customHeight="1" outlineLevel="1" x14ac:dyDescent="0.25">
      <c r="A40" s="144">
        <v>23</v>
      </c>
      <c r="B40" s="160" t="s">
        <v>101</v>
      </c>
      <c r="C40" s="134" t="s">
        <v>104</v>
      </c>
      <c r="D40" s="157"/>
      <c r="E40" s="49" t="s">
        <v>336</v>
      </c>
      <c r="F40" s="39" t="s">
        <v>105</v>
      </c>
      <c r="G40" s="46" t="s">
        <v>3</v>
      </c>
      <c r="H40" s="39">
        <v>18700000000</v>
      </c>
      <c r="I40" s="39">
        <v>18700000000</v>
      </c>
      <c r="J40" s="150">
        <v>7.4999999999999997E-2</v>
      </c>
      <c r="K40" s="39">
        <f>890476190.5+890476190.5</f>
        <v>1780952381</v>
      </c>
      <c r="L40" s="39">
        <f>1333335616.4+703171232.9+699328767.1+670052837.5</f>
        <v>3405888453.9000001</v>
      </c>
      <c r="M40" s="42">
        <f t="shared" si="1"/>
        <v>16919047619</v>
      </c>
      <c r="N40" s="126" t="s">
        <v>82</v>
      </c>
      <c r="O40" s="28"/>
      <c r="P40" s="24"/>
    </row>
    <row r="41" spans="1:16" ht="63.75" customHeight="1" outlineLevel="1" x14ac:dyDescent="0.25">
      <c r="A41" s="144">
        <v>24</v>
      </c>
      <c r="B41" s="160" t="s">
        <v>101</v>
      </c>
      <c r="C41" s="134" t="s">
        <v>290</v>
      </c>
      <c r="D41" s="157"/>
      <c r="E41" s="50"/>
      <c r="F41" s="39" t="s">
        <v>273</v>
      </c>
      <c r="G41" s="46" t="s">
        <v>3</v>
      </c>
      <c r="H41" s="39">
        <v>25000000000</v>
      </c>
      <c r="I41" s="39">
        <v>25000000000</v>
      </c>
      <c r="J41" s="150">
        <v>0.09</v>
      </c>
      <c r="K41" s="39"/>
      <c r="L41" s="39">
        <f>1171232876.7+1121917808.3+1128082191.8</f>
        <v>3421232876.8000002</v>
      </c>
      <c r="M41" s="42">
        <f t="shared" si="1"/>
        <v>25000000000</v>
      </c>
      <c r="N41" s="126" t="s">
        <v>82</v>
      </c>
      <c r="O41" s="28"/>
      <c r="P41" s="24"/>
    </row>
    <row r="42" spans="1:16" ht="63.75" customHeight="1" outlineLevel="1" x14ac:dyDescent="0.25">
      <c r="A42" s="144">
        <v>25</v>
      </c>
      <c r="B42" s="160" t="s">
        <v>101</v>
      </c>
      <c r="C42" s="134" t="s">
        <v>276</v>
      </c>
      <c r="D42" s="157"/>
      <c r="E42" s="49" t="s">
        <v>337</v>
      </c>
      <c r="F42" s="39" t="s">
        <v>277</v>
      </c>
      <c r="G42" s="46" t="s">
        <v>3</v>
      </c>
      <c r="H42" s="39">
        <v>2242223800</v>
      </c>
      <c r="I42" s="39">
        <v>2242223800</v>
      </c>
      <c r="J42" s="71">
        <v>9.1240000000000002E-2</v>
      </c>
      <c r="K42" s="39"/>
      <c r="L42" s="39"/>
      <c r="M42" s="42">
        <f t="shared" si="1"/>
        <v>2242223800</v>
      </c>
      <c r="N42" s="126" t="s">
        <v>82</v>
      </c>
      <c r="O42" s="28"/>
      <c r="P42" s="24"/>
    </row>
    <row r="43" spans="1:16" ht="57.75" customHeight="1" outlineLevel="1" x14ac:dyDescent="0.25">
      <c r="A43" s="198">
        <v>26</v>
      </c>
      <c r="B43" s="205" t="s">
        <v>101</v>
      </c>
      <c r="C43" s="199" t="s">
        <v>106</v>
      </c>
      <c r="D43" s="159" t="s">
        <v>107</v>
      </c>
      <c r="E43" s="200" t="s">
        <v>338</v>
      </c>
      <c r="F43" s="228" t="s">
        <v>108</v>
      </c>
      <c r="G43" s="43" t="s">
        <v>57</v>
      </c>
      <c r="H43" s="67">
        <v>270000000</v>
      </c>
      <c r="I43" s="39">
        <v>173574580.28</v>
      </c>
      <c r="J43" s="230">
        <v>0.03</v>
      </c>
      <c r="K43" s="39">
        <v>51199088.700222775</v>
      </c>
      <c r="L43" s="39">
        <v>20309911.275648959</v>
      </c>
      <c r="M43" s="42">
        <f t="shared" si="1"/>
        <v>122375491.57977723</v>
      </c>
      <c r="N43" s="196" t="s">
        <v>90</v>
      </c>
      <c r="O43" s="28"/>
      <c r="P43" s="24"/>
    </row>
    <row r="44" spans="1:16" ht="57.75" customHeight="1" outlineLevel="1" x14ac:dyDescent="0.25">
      <c r="A44" s="188"/>
      <c r="B44" s="206"/>
      <c r="C44" s="191"/>
      <c r="D44" s="143"/>
      <c r="E44" s="194"/>
      <c r="F44" s="229"/>
      <c r="G44" s="46" t="s">
        <v>3</v>
      </c>
      <c r="H44" s="68">
        <v>1265847400</v>
      </c>
      <c r="I44" s="39">
        <f>9509488626+108542329</f>
        <v>9618030955</v>
      </c>
      <c r="J44" s="231"/>
      <c r="K44" s="39">
        <v>2858334735.4763155</v>
      </c>
      <c r="L44" s="39">
        <v>1045375895.11175</v>
      </c>
      <c r="M44" s="42">
        <f t="shared" si="1"/>
        <v>6759696219.5236845</v>
      </c>
      <c r="N44" s="197"/>
      <c r="O44" s="28"/>
      <c r="P44" s="24"/>
    </row>
    <row r="45" spans="1:16" ht="57.75" customHeight="1" outlineLevel="1" x14ac:dyDescent="0.25">
      <c r="A45" s="156">
        <v>27</v>
      </c>
      <c r="B45" s="160" t="s">
        <v>101</v>
      </c>
      <c r="C45" s="157" t="s">
        <v>109</v>
      </c>
      <c r="D45" s="159"/>
      <c r="E45" s="152" t="s">
        <v>339</v>
      </c>
      <c r="F45" s="154" t="s">
        <v>110</v>
      </c>
      <c r="G45" s="38" t="s">
        <v>57</v>
      </c>
      <c r="H45" s="67">
        <v>8907500</v>
      </c>
      <c r="I45" s="39">
        <v>8907384.7100000009</v>
      </c>
      <c r="J45" s="202" t="s">
        <v>390</v>
      </c>
      <c r="K45" s="39"/>
      <c r="L45" s="39">
        <v>1241236.448672388</v>
      </c>
      <c r="M45" s="73">
        <f t="shared" si="1"/>
        <v>8907384.7100000009</v>
      </c>
      <c r="N45" s="136" t="s">
        <v>111</v>
      </c>
      <c r="O45" s="28"/>
      <c r="P45" s="24"/>
    </row>
    <row r="46" spans="1:16" ht="78.75" customHeight="1" outlineLevel="1" thickBot="1" x14ac:dyDescent="0.3">
      <c r="A46" s="156">
        <v>28</v>
      </c>
      <c r="B46" s="140" t="s">
        <v>94</v>
      </c>
      <c r="C46" s="135" t="s">
        <v>109</v>
      </c>
      <c r="D46" s="141"/>
      <c r="E46" s="152" t="s">
        <v>340</v>
      </c>
      <c r="F46" s="75" t="s">
        <v>110</v>
      </c>
      <c r="G46" s="74" t="s">
        <v>57</v>
      </c>
      <c r="H46" s="76">
        <v>21092500</v>
      </c>
      <c r="I46" s="39">
        <v>21092210.790000003</v>
      </c>
      <c r="J46" s="217"/>
      <c r="K46" s="39"/>
      <c r="L46" s="39">
        <v>3081286.0102244308</v>
      </c>
      <c r="M46" s="59">
        <f t="shared" si="1"/>
        <v>21092210.790000003</v>
      </c>
      <c r="N46" s="136" t="s">
        <v>112</v>
      </c>
      <c r="O46" s="28"/>
    </row>
    <row r="47" spans="1:16" s="79" customFormat="1" ht="15" customHeight="1" x14ac:dyDescent="0.25">
      <c r="A47" s="218" t="s">
        <v>121</v>
      </c>
      <c r="B47" s="219"/>
      <c r="C47" s="219"/>
      <c r="D47" s="222" t="s">
        <v>35</v>
      </c>
      <c r="E47" s="222"/>
      <c r="F47" s="222"/>
      <c r="G47" s="77"/>
      <c r="H47" s="78">
        <f>SUMIF($G$5:$G$46,D47,$H$5:$H$46)</f>
        <v>275755742.28000003</v>
      </c>
      <c r="I47" s="78">
        <f>SUMIF($G$5:$G$46,D47,$I$5:$I$46)</f>
        <v>97929055.540000007</v>
      </c>
      <c r="J47" s="78"/>
      <c r="K47" s="78">
        <f>SUMIF($G$5:$G$46,D47,$K$5:$K$46)</f>
        <v>31239706.74381711</v>
      </c>
      <c r="L47" s="78">
        <f>SUMIF($G$5:$G$46,D47,$L$5:$L$46)</f>
        <v>14215260.842319401</v>
      </c>
      <c r="M47" s="78">
        <f>SUMIF($G$5:$G$46,D47,$M$5:$M$46)</f>
        <v>66689348.796182901</v>
      </c>
      <c r="N47" s="127"/>
      <c r="O47" s="28"/>
    </row>
    <row r="48" spans="1:16" s="79" customFormat="1" ht="15" customHeight="1" x14ac:dyDescent="0.25">
      <c r="A48" s="220"/>
      <c r="B48" s="221"/>
      <c r="C48" s="221"/>
      <c r="D48" s="223" t="s">
        <v>3</v>
      </c>
      <c r="E48" s="223"/>
      <c r="F48" s="223"/>
      <c r="G48" s="80"/>
      <c r="H48" s="81">
        <f>SUMIF($G$5:$G$46,D48,$H$5:$H$46)</f>
        <v>50705739545.900002</v>
      </c>
      <c r="I48" s="81">
        <f>SUMIF($G$5:$G$46,D48,$I$5:$I$46)</f>
        <v>69365278695.899994</v>
      </c>
      <c r="J48" s="81"/>
      <c r="K48" s="81">
        <f>SUMIF($G$5:$G$46,D48,$K$5:$K$46)</f>
        <v>6576683234.5763149</v>
      </c>
      <c r="L48" s="81">
        <f>SUMIF($G$5:$G$46,D48,$L$5:$L$46)</f>
        <v>9776115119.0350094</v>
      </c>
      <c r="M48" s="81">
        <f>SUMIF($G$5:$G$46,D48,$M$5:$M$46)</f>
        <v>62788595461.323685</v>
      </c>
      <c r="N48" s="128"/>
      <c r="O48" s="28"/>
    </row>
    <row r="49" spans="1:15" s="79" customFormat="1" ht="15" customHeight="1" x14ac:dyDescent="0.25">
      <c r="A49" s="220"/>
      <c r="B49" s="221"/>
      <c r="C49" s="221"/>
      <c r="D49" s="223" t="s">
        <v>57</v>
      </c>
      <c r="E49" s="223"/>
      <c r="F49" s="223"/>
      <c r="G49" s="80"/>
      <c r="H49" s="81">
        <f>SUMIF($G$5:$G$46,D49,$H$5:$H$46)</f>
        <v>443654882.94000006</v>
      </c>
      <c r="I49" s="81">
        <f>SUMIF($G$5:$G$46,D49,$I$5:$I$46)</f>
        <v>322277213.61000001</v>
      </c>
      <c r="J49" s="81"/>
      <c r="K49" s="81">
        <f>SUMIF($G$5:$G$46,D49,$K$5:$K$46)</f>
        <v>75368816.461946577</v>
      </c>
      <c r="L49" s="81">
        <f>SUMIF($G$5:$G$46,D49,$L$5:$L$46)</f>
        <v>40342012.390229143</v>
      </c>
      <c r="M49" s="81">
        <f>SUMIF($G$5:$G$46,D49,$M$5:$M$46)</f>
        <v>246908397.14805344</v>
      </c>
      <c r="N49" s="128"/>
      <c r="O49" s="28"/>
    </row>
    <row r="50" spans="1:15" s="79" customFormat="1" ht="15" customHeight="1" x14ac:dyDescent="0.25">
      <c r="A50" s="220"/>
      <c r="B50" s="221"/>
      <c r="C50" s="221"/>
      <c r="D50" s="224" t="s">
        <v>77</v>
      </c>
      <c r="E50" s="224"/>
      <c r="F50" s="224"/>
      <c r="G50" s="82"/>
      <c r="H50" s="83">
        <f>SUMIF($G$5:$G$46,D50,$H$5:$H$46)</f>
        <v>31777311969</v>
      </c>
      <c r="I50" s="83">
        <f>SUMIF($G$5:$G$46,D50,$I$5:$I$46)</f>
        <v>31859249643</v>
      </c>
      <c r="J50" s="83"/>
      <c r="K50" s="83">
        <f>SUMIF($G$5:$G$46,D50,$K$5:$K$46)</f>
        <v>10468472425.228352</v>
      </c>
      <c r="L50" s="83">
        <f>SUMIF($G$5:$G$46,D50,$L$5:$L$46)</f>
        <v>3314986633.2419791</v>
      </c>
      <c r="M50" s="83">
        <f>SUMIF($G$5:$G$46,D50,$M$5:$M$46)</f>
        <v>21390777217.771648</v>
      </c>
      <c r="N50" s="129"/>
      <c r="O50" s="28"/>
    </row>
    <row r="51" spans="1:15" s="79" customFormat="1" ht="15" customHeight="1" thickBot="1" x14ac:dyDescent="0.3">
      <c r="A51" s="220"/>
      <c r="B51" s="221"/>
      <c r="C51" s="221"/>
      <c r="D51" s="225" t="s">
        <v>67</v>
      </c>
      <c r="E51" s="226"/>
      <c r="F51" s="227"/>
      <c r="G51" s="84"/>
      <c r="H51" s="85">
        <f>SUMIF($G$5:$G$46,D51,$H$5:$H$46)</f>
        <v>24086688</v>
      </c>
      <c r="I51" s="85">
        <f>SUMIF($G$5:$G$46,D51,$I$5:$I$46)</f>
        <v>18496922.612149809</v>
      </c>
      <c r="J51" s="85"/>
      <c r="K51" s="85">
        <f>SUMIF($G$5:$G$46,D51,$K$5:$K$46)</f>
        <v>2951863.7028913228</v>
      </c>
      <c r="L51" s="85">
        <f>SUMIF($G$5:$G$46,D51,$L$5:$L$46)</f>
        <v>2210496.0583513039</v>
      </c>
      <c r="M51" s="85">
        <f>SUMIF($G$5:$G$46,D51,$M$5:$M$46)</f>
        <v>15545058.909258485</v>
      </c>
      <c r="N51" s="130"/>
      <c r="O51" s="28"/>
    </row>
    <row r="52" spans="1:15" ht="78" customHeight="1" outlineLevel="1" x14ac:dyDescent="0.25">
      <c r="A52" s="145">
        <v>29</v>
      </c>
      <c r="B52" s="139" t="s">
        <v>122</v>
      </c>
      <c r="C52" s="140" t="s">
        <v>123</v>
      </c>
      <c r="D52" s="142" t="s">
        <v>124</v>
      </c>
      <c r="E52" s="152" t="s">
        <v>341</v>
      </c>
      <c r="F52" s="152" t="s">
        <v>125</v>
      </c>
      <c r="G52" s="38" t="s">
        <v>35</v>
      </c>
      <c r="H52" s="154">
        <v>5000000</v>
      </c>
      <c r="I52" s="154">
        <v>5000000</v>
      </c>
      <c r="J52" s="161" t="s">
        <v>126</v>
      </c>
      <c r="K52" s="154">
        <v>4166666.6925234399</v>
      </c>
      <c r="L52" s="154">
        <v>523498.34149602189</v>
      </c>
      <c r="M52" s="154">
        <f t="shared" ref="M52:M57" si="2">I52-K52</f>
        <v>833333.30747656012</v>
      </c>
      <c r="N52" s="137" t="s">
        <v>82</v>
      </c>
    </row>
    <row r="53" spans="1:15" ht="71.25" customHeight="1" outlineLevel="1" x14ac:dyDescent="0.25">
      <c r="A53" s="144">
        <v>30</v>
      </c>
      <c r="B53" s="205" t="s">
        <v>127</v>
      </c>
      <c r="C53" s="134" t="s">
        <v>128</v>
      </c>
      <c r="D53" s="143" t="s">
        <v>124</v>
      </c>
      <c r="E53" s="151" t="s">
        <v>342</v>
      </c>
      <c r="F53" s="151" t="s">
        <v>129</v>
      </c>
      <c r="G53" s="43" t="s">
        <v>35</v>
      </c>
      <c r="H53" s="39">
        <v>5000000</v>
      </c>
      <c r="I53" s="39">
        <v>5000000</v>
      </c>
      <c r="J53" s="150" t="s">
        <v>126</v>
      </c>
      <c r="K53" s="39">
        <v>3125000</v>
      </c>
      <c r="L53" s="39">
        <v>291720.90000000002</v>
      </c>
      <c r="M53" s="39">
        <f t="shared" si="2"/>
        <v>1875000</v>
      </c>
      <c r="N53" s="196" t="s">
        <v>82</v>
      </c>
    </row>
    <row r="54" spans="1:15" ht="71.25" customHeight="1" outlineLevel="1" x14ac:dyDescent="0.25">
      <c r="A54" s="144">
        <v>31</v>
      </c>
      <c r="B54" s="206"/>
      <c r="C54" s="134"/>
      <c r="D54" s="143"/>
      <c r="E54" s="151"/>
      <c r="F54" s="151"/>
      <c r="G54" s="72" t="s">
        <v>3</v>
      </c>
      <c r="H54" s="39"/>
      <c r="I54" s="39">
        <v>66094595</v>
      </c>
      <c r="J54" s="150"/>
      <c r="K54" s="39">
        <v>6609471.4408984035</v>
      </c>
      <c r="L54" s="39">
        <v>167622.63173653893</v>
      </c>
      <c r="M54" s="39">
        <f t="shared" si="2"/>
        <v>59485123.559101596</v>
      </c>
      <c r="N54" s="197"/>
    </row>
    <row r="55" spans="1:15" ht="55.5" customHeight="1" outlineLevel="1" x14ac:dyDescent="0.25">
      <c r="A55" s="156">
        <v>32</v>
      </c>
      <c r="B55" s="160" t="s">
        <v>130</v>
      </c>
      <c r="C55" s="157" t="s">
        <v>131</v>
      </c>
      <c r="D55" s="159" t="s">
        <v>132</v>
      </c>
      <c r="E55" s="158" t="s">
        <v>343</v>
      </c>
      <c r="F55" s="158" t="s">
        <v>133</v>
      </c>
      <c r="G55" s="43" t="s">
        <v>35</v>
      </c>
      <c r="H55" s="39">
        <v>5000000</v>
      </c>
      <c r="I55" s="39">
        <v>5000000</v>
      </c>
      <c r="J55" s="44" t="s">
        <v>126</v>
      </c>
      <c r="K55" s="39">
        <v>3227272.7406421094</v>
      </c>
      <c r="L55" s="39">
        <v>320570.26842924446</v>
      </c>
      <c r="M55" s="39">
        <f t="shared" si="2"/>
        <v>1772727.2593578906</v>
      </c>
      <c r="N55" s="126" t="s">
        <v>82</v>
      </c>
    </row>
    <row r="56" spans="1:15" ht="57" customHeight="1" outlineLevel="1" x14ac:dyDescent="0.25">
      <c r="A56" s="198">
        <v>33</v>
      </c>
      <c r="B56" s="205" t="s">
        <v>134</v>
      </c>
      <c r="C56" s="199" t="s">
        <v>135</v>
      </c>
      <c r="D56" s="143" t="s">
        <v>132</v>
      </c>
      <c r="E56" s="151" t="s">
        <v>344</v>
      </c>
      <c r="F56" s="151" t="s">
        <v>136</v>
      </c>
      <c r="G56" s="72" t="s">
        <v>35</v>
      </c>
      <c r="H56" s="153">
        <v>5000000</v>
      </c>
      <c r="I56" s="39">
        <v>3000000</v>
      </c>
      <c r="J56" s="71" t="s">
        <v>291</v>
      </c>
      <c r="K56" s="39">
        <v>566091.95402298844</v>
      </c>
      <c r="L56" s="39">
        <v>207082.43728803218</v>
      </c>
      <c r="M56" s="153">
        <f t="shared" si="2"/>
        <v>2433908.0459770113</v>
      </c>
      <c r="N56" s="196" t="s">
        <v>82</v>
      </c>
    </row>
    <row r="57" spans="1:15" ht="57" customHeight="1" outlineLevel="1" thickBot="1" x14ac:dyDescent="0.3">
      <c r="A57" s="213"/>
      <c r="B57" s="214"/>
      <c r="C57" s="215"/>
      <c r="D57" s="143" t="s">
        <v>132</v>
      </c>
      <c r="E57" s="151" t="s">
        <v>344</v>
      </c>
      <c r="F57" s="151" t="s">
        <v>274</v>
      </c>
      <c r="G57" s="72" t="s">
        <v>3</v>
      </c>
      <c r="H57" s="153"/>
      <c r="I57" s="39">
        <v>69055257.109999999</v>
      </c>
      <c r="J57" s="71">
        <v>1.404E-2</v>
      </c>
      <c r="K57" s="39">
        <v>7284586.1214816347</v>
      </c>
      <c r="L57" s="39">
        <v>964864.45105317794</v>
      </c>
      <c r="M57" s="153">
        <f t="shared" si="2"/>
        <v>61770670.988518365</v>
      </c>
      <c r="N57" s="216"/>
    </row>
    <row r="58" spans="1:15" s="79" customFormat="1" ht="15" customHeight="1" x14ac:dyDescent="0.25">
      <c r="A58" s="218" t="s">
        <v>137</v>
      </c>
      <c r="B58" s="219"/>
      <c r="C58" s="219"/>
      <c r="D58" s="222" t="s">
        <v>35</v>
      </c>
      <c r="E58" s="222"/>
      <c r="F58" s="222"/>
      <c r="G58" s="77"/>
      <c r="H58" s="78">
        <f>SUMIF($G$52:$G$57,D58,$H$52:$H$57)</f>
        <v>20000000</v>
      </c>
      <c r="I58" s="78">
        <f>SUMIF($G$52:$G$57,D58,$I$52:$I$57)</f>
        <v>18000000</v>
      </c>
      <c r="J58" s="86"/>
      <c r="K58" s="78">
        <f>SUMIF($G$52:$G$57,D58,$K$52:$K$57)</f>
        <v>11085031.387188539</v>
      </c>
      <c r="L58" s="78">
        <f>SUMIF($G$52:$G$57,D58,$L$52:$L$57)</f>
        <v>1342871.9472132984</v>
      </c>
      <c r="M58" s="78">
        <f>SUMIF($G$52:$G$57,D58,$M$52:$M$57)</f>
        <v>6914968.612811462</v>
      </c>
      <c r="N58" s="127"/>
      <c r="O58" s="28"/>
    </row>
    <row r="59" spans="1:15" s="79" customFormat="1" ht="15" customHeight="1" x14ac:dyDescent="0.25">
      <c r="A59" s="220"/>
      <c r="B59" s="221"/>
      <c r="C59" s="221"/>
      <c r="D59" s="223" t="s">
        <v>3</v>
      </c>
      <c r="E59" s="223"/>
      <c r="F59" s="223"/>
      <c r="G59" s="80"/>
      <c r="H59" s="81">
        <f>SUMIF($G$52:$G$57,D59,$H$52:$H$57)</f>
        <v>0</v>
      </c>
      <c r="I59" s="81">
        <f>SUMIF($G$52:$G$57,D59,$I$52:$I$57)</f>
        <v>135149852.11000001</v>
      </c>
      <c r="J59" s="81"/>
      <c r="K59" s="81">
        <f>SUMIF($G$52:$G$57,D59,$K$52:$K$57)</f>
        <v>13894057.562380038</v>
      </c>
      <c r="L59" s="81">
        <f>SUMIF($G$52:$G$57,D59,$L$52:$L$57)</f>
        <v>1132487.0827897168</v>
      </c>
      <c r="M59" s="81">
        <f>SUMIF($G$52:$G$57,D59,$M$52:$M$57)</f>
        <v>121255794.54761997</v>
      </c>
      <c r="N59" s="128"/>
      <c r="O59" s="28"/>
    </row>
    <row r="60" spans="1:15" s="79" customFormat="1" ht="15" customHeight="1" x14ac:dyDescent="0.25">
      <c r="A60" s="220"/>
      <c r="B60" s="221"/>
      <c r="C60" s="221"/>
      <c r="D60" s="223" t="s">
        <v>57</v>
      </c>
      <c r="E60" s="223"/>
      <c r="F60" s="223"/>
      <c r="G60" s="80"/>
      <c r="H60" s="81">
        <f>SUMIF($G$52:$G$57,D60,$H$52:$H$57)</f>
        <v>0</v>
      </c>
      <c r="I60" s="81">
        <f>SUMIF($G$52:$G$57,D60,$I$52:$I$57)</f>
        <v>0</v>
      </c>
      <c r="J60" s="81"/>
      <c r="K60" s="81">
        <f>SUMIF($G$52:$G$57,D60,$K$52:$K$57)</f>
        <v>0</v>
      </c>
      <c r="L60" s="81">
        <f>SUMIF($G$52:$G$57,D60,$L$52:$L$57)</f>
        <v>0</v>
      </c>
      <c r="M60" s="81">
        <f>SUMIF($G$52:$G$57,D60,$M$52:$M$57)</f>
        <v>0</v>
      </c>
      <c r="N60" s="128"/>
      <c r="O60" s="28"/>
    </row>
    <row r="61" spans="1:15" s="79" customFormat="1" ht="15" customHeight="1" thickBot="1" x14ac:dyDescent="0.3">
      <c r="A61" s="232"/>
      <c r="B61" s="233"/>
      <c r="C61" s="233"/>
      <c r="D61" s="234" t="s">
        <v>77</v>
      </c>
      <c r="E61" s="234"/>
      <c r="F61" s="234"/>
      <c r="G61" s="84"/>
      <c r="H61" s="85">
        <f>SUMIF($G$52:$G$57,D61,$H$52:$H$57)</f>
        <v>0</v>
      </c>
      <c r="I61" s="85">
        <f>SUMIF($G$52:$G$57,D61,$I$52:$I$57)</f>
        <v>0</v>
      </c>
      <c r="J61" s="85"/>
      <c r="K61" s="85">
        <f>SUMIF($G$52:$G$57,D61,$K$52:$K$57)</f>
        <v>0</v>
      </c>
      <c r="L61" s="85">
        <f>SUMIF($G$52:$G$57,D61,$L$52:$L$57)</f>
        <v>0</v>
      </c>
      <c r="M61" s="85">
        <f>SUMIF($G$52:$G$57,D61,$M$52:$M$57)</f>
        <v>0</v>
      </c>
      <c r="N61" s="130"/>
      <c r="O61" s="28"/>
    </row>
    <row r="62" spans="1:15" s="27" customFormat="1" ht="91.5" customHeight="1" outlineLevel="1" x14ac:dyDescent="0.25">
      <c r="A62" s="156">
        <v>34</v>
      </c>
      <c r="B62" s="157" t="s">
        <v>138</v>
      </c>
      <c r="C62" s="157" t="s">
        <v>139</v>
      </c>
      <c r="D62" s="157" t="s">
        <v>107</v>
      </c>
      <c r="E62" s="51" t="s">
        <v>345</v>
      </c>
      <c r="F62" s="157" t="s">
        <v>140</v>
      </c>
      <c r="G62" s="157" t="s">
        <v>3</v>
      </c>
      <c r="H62" s="39">
        <v>74000000000</v>
      </c>
      <c r="I62" s="39">
        <v>74000000000</v>
      </c>
      <c r="J62" s="44" t="s">
        <v>141</v>
      </c>
      <c r="K62" s="39">
        <f>38761904762.2+1761904761.9+1761904761.9+1761904761.9+1761904761.9+1761904761.9+1761904761.9+1761904761.9+1761904761.9+1761904761.9+1761904761.9+1761904761.9+1761904761.9+1761904761.9</f>
        <v>61666666666.900017</v>
      </c>
      <c r="L62" s="39">
        <f>27000442621.6+339655076+452522803</f>
        <v>27792620500.599998</v>
      </c>
      <c r="M62" s="42">
        <f t="shared" ref="M62:M68" si="3">I62-K62</f>
        <v>12333333333.099983</v>
      </c>
      <c r="N62" s="126" t="s">
        <v>82</v>
      </c>
      <c r="O62" s="26"/>
    </row>
    <row r="63" spans="1:15" s="27" customFormat="1" ht="91.5" customHeight="1" outlineLevel="1" x14ac:dyDescent="0.25">
      <c r="A63" s="156">
        <v>35</v>
      </c>
      <c r="B63" s="157" t="s">
        <v>138</v>
      </c>
      <c r="C63" s="157" t="s">
        <v>142</v>
      </c>
      <c r="D63" s="157" t="s">
        <v>292</v>
      </c>
      <c r="E63" s="51" t="s">
        <v>346</v>
      </c>
      <c r="F63" s="157" t="s">
        <v>143</v>
      </c>
      <c r="G63" s="157" t="s">
        <v>3</v>
      </c>
      <c r="H63" s="39">
        <v>2035890300</v>
      </c>
      <c r="I63" s="39">
        <v>2035890300</v>
      </c>
      <c r="J63" s="44" t="s">
        <v>50</v>
      </c>
      <c r="K63" s="39">
        <v>0</v>
      </c>
      <c r="L63" s="39">
        <v>0</v>
      </c>
      <c r="M63" s="42">
        <f t="shared" si="3"/>
        <v>2035890300</v>
      </c>
      <c r="N63" s="126" t="s">
        <v>82</v>
      </c>
      <c r="O63" s="26"/>
    </row>
    <row r="64" spans="1:15" ht="121.5" outlineLevel="1" x14ac:dyDescent="0.25">
      <c r="A64" s="145">
        <v>36</v>
      </c>
      <c r="B64" s="160" t="s">
        <v>144</v>
      </c>
      <c r="C64" s="157" t="s">
        <v>145</v>
      </c>
      <c r="D64" s="159" t="s">
        <v>33</v>
      </c>
      <c r="E64" s="158" t="s">
        <v>347</v>
      </c>
      <c r="F64" s="159" t="s">
        <v>146</v>
      </c>
      <c r="G64" s="43" t="s">
        <v>35</v>
      </c>
      <c r="H64" s="39">
        <v>3500000</v>
      </c>
      <c r="I64" s="39">
        <v>3500000</v>
      </c>
      <c r="J64" s="44">
        <v>7.4999999999999997E-3</v>
      </c>
      <c r="K64" s="39">
        <f>696000+31440060/542.07+58000+24255020/418.19</f>
        <v>870000</v>
      </c>
      <c r="L64" s="39">
        <f>399592.922231146+10515+10297.5+4215355.2/418.19</f>
        <v>430485.42223114602</v>
      </c>
      <c r="M64" s="42">
        <f t="shared" si="3"/>
        <v>2630000</v>
      </c>
      <c r="N64" s="126" t="s">
        <v>82</v>
      </c>
    </row>
    <row r="65" spans="1:15" ht="69" customHeight="1" outlineLevel="1" x14ac:dyDescent="0.25">
      <c r="A65" s="156">
        <v>37</v>
      </c>
      <c r="B65" s="160" t="s">
        <v>147</v>
      </c>
      <c r="C65" s="157" t="s">
        <v>148</v>
      </c>
      <c r="D65" s="157" t="s">
        <v>149</v>
      </c>
      <c r="E65" s="163" t="s">
        <v>348</v>
      </c>
      <c r="F65" s="159" t="s">
        <v>150</v>
      </c>
      <c r="G65" s="43" t="s">
        <v>57</v>
      </c>
      <c r="H65" s="42">
        <v>1689937.9</v>
      </c>
      <c r="I65" s="39">
        <v>1689937.9</v>
      </c>
      <c r="J65" s="48">
        <v>5.9900000000000002E-2</v>
      </c>
      <c r="K65" s="39">
        <f>788166.37+28165+28165</f>
        <v>844496.37</v>
      </c>
      <c r="L65" s="39">
        <f>1910586.5+27294.41+26586.78</f>
        <v>1964467.69</v>
      </c>
      <c r="M65" s="42">
        <f t="shared" si="3"/>
        <v>845441.52999999991</v>
      </c>
      <c r="N65" s="131" t="s">
        <v>82</v>
      </c>
    </row>
    <row r="66" spans="1:15" ht="69.75" customHeight="1" outlineLevel="1" x14ac:dyDescent="0.25">
      <c r="A66" s="145">
        <v>38</v>
      </c>
      <c r="B66" s="160" t="s">
        <v>151</v>
      </c>
      <c r="C66" s="157" t="s">
        <v>152</v>
      </c>
      <c r="D66" s="157" t="s">
        <v>149</v>
      </c>
      <c r="E66" s="163" t="s">
        <v>349</v>
      </c>
      <c r="F66" s="159" t="s">
        <v>153</v>
      </c>
      <c r="G66" s="43" t="s">
        <v>57</v>
      </c>
      <c r="H66" s="42">
        <v>2828000</v>
      </c>
      <c r="I66" s="39">
        <v>2828000</v>
      </c>
      <c r="J66" s="48">
        <v>5.9900000000000002E-2</v>
      </c>
      <c r="K66" s="42">
        <v>1081862.33</v>
      </c>
      <c r="L66" s="39">
        <v>2863925.1100000008</v>
      </c>
      <c r="M66" s="42">
        <f t="shared" si="3"/>
        <v>1746137.67</v>
      </c>
      <c r="N66" s="131" t="s">
        <v>82</v>
      </c>
    </row>
    <row r="67" spans="1:15" s="30" customFormat="1" ht="177" customHeight="1" outlineLevel="1" x14ac:dyDescent="0.2">
      <c r="A67" s="156">
        <v>39</v>
      </c>
      <c r="B67" s="160" t="s">
        <v>154</v>
      </c>
      <c r="C67" s="157" t="s">
        <v>155</v>
      </c>
      <c r="D67" s="157" t="s">
        <v>149</v>
      </c>
      <c r="E67" s="159" t="s">
        <v>350</v>
      </c>
      <c r="F67" s="159" t="s">
        <v>156</v>
      </c>
      <c r="G67" s="157" t="s">
        <v>3</v>
      </c>
      <c r="H67" s="52">
        <v>2092000000</v>
      </c>
      <c r="I67" s="39">
        <v>2092000000</v>
      </c>
      <c r="J67" s="53">
        <v>0.02</v>
      </c>
      <c r="K67" s="39">
        <v>354576270</v>
      </c>
      <c r="L67" s="39">
        <v>428638211.8599999</v>
      </c>
      <c r="M67" s="42">
        <f t="shared" si="3"/>
        <v>1737423730</v>
      </c>
      <c r="N67" s="131" t="s">
        <v>82</v>
      </c>
      <c r="O67" s="29"/>
    </row>
    <row r="68" spans="1:15" s="30" customFormat="1" ht="169.5" customHeight="1" outlineLevel="1" thickBot="1" x14ac:dyDescent="0.25">
      <c r="A68" s="145">
        <v>40</v>
      </c>
      <c r="B68" s="160" t="s">
        <v>154</v>
      </c>
      <c r="C68" s="157" t="s">
        <v>157</v>
      </c>
      <c r="D68" s="157" t="s">
        <v>149</v>
      </c>
      <c r="E68" s="159" t="s">
        <v>351</v>
      </c>
      <c r="F68" s="159" t="s">
        <v>158</v>
      </c>
      <c r="G68" s="159" t="s">
        <v>3</v>
      </c>
      <c r="H68" s="52">
        <v>2187306400</v>
      </c>
      <c r="I68" s="52">
        <v>2187306400</v>
      </c>
      <c r="J68" s="53">
        <v>0.03</v>
      </c>
      <c r="K68" s="39">
        <v>0</v>
      </c>
      <c r="L68" s="39">
        <v>224789707.90000001</v>
      </c>
      <c r="M68" s="42">
        <f t="shared" si="3"/>
        <v>2187306400</v>
      </c>
      <c r="N68" s="131" t="s">
        <v>82</v>
      </c>
      <c r="O68" s="29"/>
    </row>
    <row r="69" spans="1:15" s="79" customFormat="1" ht="15" customHeight="1" x14ac:dyDescent="0.25">
      <c r="A69" s="218" t="s">
        <v>159</v>
      </c>
      <c r="B69" s="219"/>
      <c r="C69" s="219"/>
      <c r="D69" s="222" t="s">
        <v>35</v>
      </c>
      <c r="E69" s="222"/>
      <c r="F69" s="222"/>
      <c r="G69" s="77"/>
      <c r="H69" s="86">
        <f>SUMIF($G$62:$G$68,D69,$H$62:$H$68)</f>
        <v>3500000</v>
      </c>
      <c r="I69" s="86">
        <f>SUMIF($G$62:$G$68,D69,$I$62:$I$68)</f>
        <v>3500000</v>
      </c>
      <c r="J69" s="86"/>
      <c r="K69" s="86">
        <f>SUMIF($G$62:$G$68,D69,$K$62:$K$68)</f>
        <v>870000</v>
      </c>
      <c r="L69" s="86">
        <f>SUMIF($G$62:$G$68,D69,$L$62:$L$68)</f>
        <v>430485.42223114602</v>
      </c>
      <c r="M69" s="86">
        <f>SUMIF($G$62:$G$68,D69,$M$62:$M$68)</f>
        <v>2630000</v>
      </c>
      <c r="N69" s="127"/>
      <c r="O69" s="28"/>
    </row>
    <row r="70" spans="1:15" s="79" customFormat="1" ht="15" customHeight="1" x14ac:dyDescent="0.25">
      <c r="A70" s="220"/>
      <c r="B70" s="221"/>
      <c r="C70" s="221"/>
      <c r="D70" s="223" t="s">
        <v>3</v>
      </c>
      <c r="E70" s="223"/>
      <c r="F70" s="223"/>
      <c r="G70" s="80"/>
      <c r="H70" s="81">
        <f>SUMIF($G$62:$G$68,D70,$H$62:$H$68)</f>
        <v>80315196700</v>
      </c>
      <c r="I70" s="81">
        <f>SUMIF($G$62:$G$68,D70,$I$62:$I$68)</f>
        <v>80315196700</v>
      </c>
      <c r="J70" s="81"/>
      <c r="K70" s="81">
        <f>SUMIF($G$62:$G$68,D70,$K$62:$K$68)</f>
        <v>62021242936.900017</v>
      </c>
      <c r="L70" s="81">
        <f>SUMIF($G$62:$G$68,D70,$L$62:$L$68)</f>
        <v>28446048420.360001</v>
      </c>
      <c r="M70" s="81">
        <f>SUMIF($G$62:$G$68,D70,$M$62:$M$68)</f>
        <v>18293953763.099983</v>
      </c>
      <c r="N70" s="128"/>
      <c r="O70" s="28"/>
    </row>
    <row r="71" spans="1:15" s="79" customFormat="1" ht="15" customHeight="1" x14ac:dyDescent="0.25">
      <c r="A71" s="220"/>
      <c r="B71" s="221"/>
      <c r="C71" s="221"/>
      <c r="D71" s="223" t="s">
        <v>57</v>
      </c>
      <c r="E71" s="223"/>
      <c r="F71" s="223"/>
      <c r="G71" s="80"/>
      <c r="H71" s="81">
        <f>SUMIF($G$62:$G$68,D71,$H$62:$H$68)</f>
        <v>4517937.9000000004</v>
      </c>
      <c r="I71" s="81">
        <f>SUMIF($G$62:$G$68,D71,$I$62:$I$68)</f>
        <v>4517937.9000000004</v>
      </c>
      <c r="J71" s="81"/>
      <c r="K71" s="81">
        <f>SUMIF($G$62:$G$68,D71,$K$62:$K$68)</f>
        <v>1926358.7000000002</v>
      </c>
      <c r="L71" s="81">
        <f>SUMIF($G$62:$G$68,D71,$L$62:$L$68)</f>
        <v>4828392.8000000007</v>
      </c>
      <c r="M71" s="81">
        <f>SUMIF($G$62:$G$68,D71,$M$62:$M$68)</f>
        <v>2591579.1999999997</v>
      </c>
      <c r="N71" s="128"/>
      <c r="O71" s="28"/>
    </row>
    <row r="72" spans="1:15" s="79" customFormat="1" ht="15" customHeight="1" thickBot="1" x14ac:dyDescent="0.3">
      <c r="A72" s="232"/>
      <c r="B72" s="233"/>
      <c r="C72" s="233"/>
      <c r="D72" s="234" t="s">
        <v>77</v>
      </c>
      <c r="E72" s="234"/>
      <c r="F72" s="234"/>
      <c r="G72" s="84"/>
      <c r="H72" s="85">
        <f>SUMIF($G$62:$G$68,D72,$H$62:$H$68)</f>
        <v>0</v>
      </c>
      <c r="I72" s="85">
        <f>SUMIF($G$62:$G$68,D72,$I$62:$I$68)</f>
        <v>0</v>
      </c>
      <c r="J72" s="85"/>
      <c r="K72" s="85">
        <f>SUMIF($G$62:$G$68,D72,$K$62:$K$68)</f>
        <v>0</v>
      </c>
      <c r="L72" s="85">
        <f>SUMIF($G$62:$G$68,D72,$L$62:$L$68)</f>
        <v>0</v>
      </c>
      <c r="M72" s="85">
        <f>SUMIF($G$62:$G$68,D72,$M$62:$M$68)</f>
        <v>0</v>
      </c>
      <c r="N72" s="130"/>
      <c r="O72" s="28"/>
    </row>
    <row r="73" spans="1:15" s="27" customFormat="1" ht="77.25" customHeight="1" outlineLevel="1" x14ac:dyDescent="0.25">
      <c r="A73" s="156">
        <v>41</v>
      </c>
      <c r="B73" s="160" t="s">
        <v>160</v>
      </c>
      <c r="C73" s="157" t="s">
        <v>161</v>
      </c>
      <c r="D73" s="157" t="s">
        <v>99</v>
      </c>
      <c r="E73" s="157" t="s">
        <v>352</v>
      </c>
      <c r="F73" s="157" t="s">
        <v>162</v>
      </c>
      <c r="G73" s="43" t="s">
        <v>57</v>
      </c>
      <c r="H73" s="39">
        <v>361332</v>
      </c>
      <c r="I73" s="39">
        <v>361332</v>
      </c>
      <c r="J73" s="44">
        <v>7.7700000000000005E-2</v>
      </c>
      <c r="K73" s="39">
        <f>162402.753184719+8510000/490.37+(10000000+1000000+500000)/395.19+10099.73</f>
        <v>218956.65251698022</v>
      </c>
      <c r="L73" s="39">
        <f>187530</f>
        <v>187530</v>
      </c>
      <c r="M73" s="42">
        <f>I73-K73</f>
        <v>142375.34748301978</v>
      </c>
      <c r="N73" s="126" t="s">
        <v>163</v>
      </c>
      <c r="O73" s="26"/>
    </row>
    <row r="74" spans="1:15" ht="64.5" customHeight="1" outlineLevel="1" x14ac:dyDescent="0.25">
      <c r="A74" s="156">
        <v>42</v>
      </c>
      <c r="B74" s="160" t="s">
        <v>164</v>
      </c>
      <c r="C74" s="157" t="s">
        <v>165</v>
      </c>
      <c r="D74" s="143" t="s">
        <v>124</v>
      </c>
      <c r="E74" s="158" t="s">
        <v>353</v>
      </c>
      <c r="F74" s="39" t="s">
        <v>166</v>
      </c>
      <c r="G74" s="43" t="s">
        <v>35</v>
      </c>
      <c r="H74" s="39">
        <v>8000000</v>
      </c>
      <c r="I74" s="39">
        <v>80000</v>
      </c>
      <c r="J74" s="44" t="s">
        <v>50</v>
      </c>
      <c r="K74" s="39">
        <f>10909.09+3636.36+3636.36+1428217/392.76</f>
        <v>21818.170627355128</v>
      </c>
      <c r="L74" s="39">
        <f>105386.95+361.72+42360.02+4761284/392.76</f>
        <v>160231.31959568185</v>
      </c>
      <c r="M74" s="42">
        <f>I74-K74</f>
        <v>58181.829372644876</v>
      </c>
      <c r="N74" s="126" t="s">
        <v>167</v>
      </c>
    </row>
    <row r="75" spans="1:15" ht="53.25" customHeight="1" outlineLevel="1" x14ac:dyDescent="0.25">
      <c r="A75" s="156">
        <v>43</v>
      </c>
      <c r="B75" s="160" t="s">
        <v>164</v>
      </c>
      <c r="C75" s="157" t="s">
        <v>168</v>
      </c>
      <c r="D75" s="143" t="s">
        <v>132</v>
      </c>
      <c r="E75" s="158" t="s">
        <v>354</v>
      </c>
      <c r="F75" s="39" t="s">
        <v>166</v>
      </c>
      <c r="G75" s="43" t="s">
        <v>35</v>
      </c>
      <c r="H75" s="39">
        <v>8000000</v>
      </c>
      <c r="I75" s="39"/>
      <c r="J75" s="44" t="s">
        <v>50</v>
      </c>
      <c r="K75" s="39"/>
      <c r="L75" s="39"/>
      <c r="M75" s="42">
        <f>I75-K75</f>
        <v>0</v>
      </c>
      <c r="N75" s="126" t="s">
        <v>167</v>
      </c>
    </row>
    <row r="76" spans="1:15" ht="53.25" customHeight="1" outlineLevel="1" x14ac:dyDescent="0.25">
      <c r="A76" s="198">
        <v>44</v>
      </c>
      <c r="B76" s="205" t="s">
        <v>169</v>
      </c>
      <c r="C76" s="199" t="s">
        <v>272</v>
      </c>
      <c r="D76" s="143"/>
      <c r="E76" s="158" t="s">
        <v>355</v>
      </c>
      <c r="F76" s="199" t="s">
        <v>293</v>
      </c>
      <c r="G76" s="43" t="s">
        <v>35</v>
      </c>
      <c r="H76" s="39">
        <v>5500000</v>
      </c>
      <c r="I76" s="39">
        <v>1384955.78</v>
      </c>
      <c r="J76" s="44" t="s">
        <v>50</v>
      </c>
      <c r="K76" s="39"/>
      <c r="L76" s="39"/>
      <c r="M76" s="42">
        <f t="shared" ref="M76:M82" si="4">I76-K76</f>
        <v>1384955.78</v>
      </c>
      <c r="N76" s="126" t="s">
        <v>82</v>
      </c>
    </row>
    <row r="77" spans="1:15" ht="53.25" customHeight="1" outlineLevel="1" x14ac:dyDescent="0.25">
      <c r="A77" s="188"/>
      <c r="B77" s="206"/>
      <c r="C77" s="191"/>
      <c r="D77" s="143"/>
      <c r="E77" s="158"/>
      <c r="F77" s="191"/>
      <c r="G77" s="159" t="s">
        <v>3</v>
      </c>
      <c r="H77" s="39">
        <v>92733053.200000003</v>
      </c>
      <c r="I77" s="39">
        <f>92733053.2+20276600+1679251+16492341.9+20399976.4+42969092</f>
        <v>194550314.5</v>
      </c>
      <c r="J77" s="44"/>
      <c r="K77" s="39"/>
      <c r="L77" s="39"/>
      <c r="M77" s="42">
        <f t="shared" si="4"/>
        <v>194550314.5</v>
      </c>
      <c r="N77" s="126"/>
    </row>
    <row r="78" spans="1:15" ht="54" outlineLevel="1" x14ac:dyDescent="0.25">
      <c r="A78" s="156">
        <v>45</v>
      </c>
      <c r="B78" s="160" t="s">
        <v>170</v>
      </c>
      <c r="C78" s="157" t="s">
        <v>171</v>
      </c>
      <c r="D78" s="157" t="s">
        <v>119</v>
      </c>
      <c r="E78" s="158" t="s">
        <v>356</v>
      </c>
      <c r="F78" s="39" t="s">
        <v>172</v>
      </c>
      <c r="G78" s="159" t="s">
        <v>3</v>
      </c>
      <c r="H78" s="39">
        <v>249300000</v>
      </c>
      <c r="I78" s="39">
        <v>249300000</v>
      </c>
      <c r="J78" s="45">
        <v>1E-3</v>
      </c>
      <c r="K78" s="39">
        <v>42881892.899999999</v>
      </c>
      <c r="L78" s="39">
        <v>528153.5</v>
      </c>
      <c r="M78" s="42">
        <f t="shared" si="4"/>
        <v>206418107.09999999</v>
      </c>
      <c r="N78" s="126" t="s">
        <v>82</v>
      </c>
    </row>
    <row r="79" spans="1:15" ht="84" customHeight="1" outlineLevel="1" x14ac:dyDescent="0.25">
      <c r="A79" s="156">
        <v>46</v>
      </c>
      <c r="B79" s="146" t="s">
        <v>113</v>
      </c>
      <c r="C79" s="134" t="s">
        <v>114</v>
      </c>
      <c r="D79" s="143" t="s">
        <v>107</v>
      </c>
      <c r="E79" s="151" t="s">
        <v>357</v>
      </c>
      <c r="F79" s="153" t="s">
        <v>115</v>
      </c>
      <c r="G79" s="43" t="s">
        <v>57</v>
      </c>
      <c r="H79" s="39">
        <v>4000000</v>
      </c>
      <c r="I79" s="39">
        <v>762056.63</v>
      </c>
      <c r="J79" s="44" t="s">
        <v>50</v>
      </c>
      <c r="K79" s="39">
        <v>387542.70385662862</v>
      </c>
      <c r="L79" s="39">
        <v>169439.98</v>
      </c>
      <c r="M79" s="59">
        <f>I79-K79</f>
        <v>374513.92614337138</v>
      </c>
      <c r="N79" s="136" t="s">
        <v>116</v>
      </c>
    </row>
    <row r="80" spans="1:15" s="30" customFormat="1" ht="132.75" customHeight="1" outlineLevel="1" x14ac:dyDescent="0.2">
      <c r="A80" s="156">
        <v>47</v>
      </c>
      <c r="B80" s="160" t="s">
        <v>173</v>
      </c>
      <c r="C80" s="157" t="s">
        <v>139</v>
      </c>
      <c r="D80" s="159" t="s">
        <v>107</v>
      </c>
      <c r="E80" s="159" t="s">
        <v>358</v>
      </c>
      <c r="F80" s="159" t="s">
        <v>308</v>
      </c>
      <c r="G80" s="159" t="s">
        <v>3</v>
      </c>
      <c r="H80" s="52">
        <v>50600000</v>
      </c>
      <c r="I80" s="39">
        <v>50600000</v>
      </c>
      <c r="J80" s="160" t="s">
        <v>174</v>
      </c>
      <c r="K80" s="39"/>
      <c r="L80" s="39"/>
      <c r="M80" s="52">
        <f t="shared" si="4"/>
        <v>50600000</v>
      </c>
      <c r="N80" s="126" t="s">
        <v>82</v>
      </c>
      <c r="O80" s="29"/>
    </row>
    <row r="81" spans="1:15" s="30" customFormat="1" ht="148.5" customHeight="1" outlineLevel="1" x14ac:dyDescent="0.2">
      <c r="A81" s="156">
        <v>48</v>
      </c>
      <c r="B81" s="160" t="s">
        <v>173</v>
      </c>
      <c r="C81" s="157" t="s">
        <v>139</v>
      </c>
      <c r="D81" s="159" t="s">
        <v>107</v>
      </c>
      <c r="E81" s="159" t="s">
        <v>359</v>
      </c>
      <c r="F81" s="159" t="s">
        <v>309</v>
      </c>
      <c r="G81" s="157" t="s">
        <v>3</v>
      </c>
      <c r="H81" s="52">
        <v>1100000000</v>
      </c>
      <c r="I81" s="39">
        <v>1100000000</v>
      </c>
      <c r="J81" s="160" t="s">
        <v>174</v>
      </c>
      <c r="K81" s="39"/>
      <c r="L81" s="39"/>
      <c r="M81" s="52">
        <f t="shared" si="4"/>
        <v>1100000000</v>
      </c>
      <c r="N81" s="236" t="s">
        <v>275</v>
      </c>
      <c r="O81" s="29"/>
    </row>
    <row r="82" spans="1:15" s="30" customFormat="1" ht="148.5" customHeight="1" outlineLevel="1" x14ac:dyDescent="0.2">
      <c r="A82" s="156">
        <v>49</v>
      </c>
      <c r="B82" s="160" t="s">
        <v>173</v>
      </c>
      <c r="C82" s="157" t="s">
        <v>139</v>
      </c>
      <c r="D82" s="159" t="s">
        <v>107</v>
      </c>
      <c r="E82" s="159" t="s">
        <v>360</v>
      </c>
      <c r="F82" s="159" t="s">
        <v>310</v>
      </c>
      <c r="G82" s="157" t="s">
        <v>3</v>
      </c>
      <c r="H82" s="52">
        <v>792386600</v>
      </c>
      <c r="I82" s="39">
        <v>791031693</v>
      </c>
      <c r="J82" s="160" t="s">
        <v>174</v>
      </c>
      <c r="K82" s="39"/>
      <c r="L82" s="39"/>
      <c r="M82" s="52">
        <f t="shared" si="4"/>
        <v>791031693</v>
      </c>
      <c r="N82" s="237"/>
      <c r="O82" s="29"/>
    </row>
    <row r="83" spans="1:15" s="30" customFormat="1" ht="148.5" customHeight="1" outlineLevel="1" x14ac:dyDescent="0.2">
      <c r="A83" s="156">
        <v>50</v>
      </c>
      <c r="B83" s="160" t="s">
        <v>173</v>
      </c>
      <c r="C83" s="157" t="s">
        <v>139</v>
      </c>
      <c r="D83" s="159" t="s">
        <v>107</v>
      </c>
      <c r="E83" s="159" t="s">
        <v>361</v>
      </c>
      <c r="F83" s="159" t="s">
        <v>311</v>
      </c>
      <c r="G83" s="157" t="s">
        <v>3</v>
      </c>
      <c r="H83" s="52">
        <v>254672300</v>
      </c>
      <c r="I83" s="39">
        <f>168444408+75498000+5196300+5196300</f>
        <v>254335008</v>
      </c>
      <c r="J83" s="160" t="s">
        <v>174</v>
      </c>
      <c r="K83" s="39"/>
      <c r="L83" s="39"/>
      <c r="M83" s="52">
        <f>I83-K83</f>
        <v>254335008</v>
      </c>
      <c r="N83" s="238"/>
      <c r="O83" s="29"/>
    </row>
    <row r="84" spans="1:15" s="30" customFormat="1" ht="60.75" customHeight="1" outlineLevel="1" x14ac:dyDescent="0.2">
      <c r="A84" s="156">
        <v>51</v>
      </c>
      <c r="B84" s="160" t="s">
        <v>175</v>
      </c>
      <c r="C84" s="157" t="s">
        <v>139</v>
      </c>
      <c r="D84" s="159" t="s">
        <v>119</v>
      </c>
      <c r="E84" s="159" t="s">
        <v>362</v>
      </c>
      <c r="F84" s="159" t="s">
        <v>176</v>
      </c>
      <c r="G84" s="157" t="s">
        <v>3</v>
      </c>
      <c r="H84" s="52">
        <v>88731015</v>
      </c>
      <c r="I84" s="39">
        <v>88731000</v>
      </c>
      <c r="J84" s="87">
        <v>8.5000000000000006E-2</v>
      </c>
      <c r="K84" s="39"/>
      <c r="L84" s="39">
        <v>1591081</v>
      </c>
      <c r="M84" s="52">
        <f t="shared" ref="M84:M96" si="5">I84-K84</f>
        <v>88731000</v>
      </c>
      <c r="N84" s="131" t="s">
        <v>177</v>
      </c>
      <c r="O84" s="29"/>
    </row>
    <row r="85" spans="1:15" s="30" customFormat="1" ht="77.25" customHeight="1" outlineLevel="1" x14ac:dyDescent="0.2">
      <c r="A85" s="156">
        <v>52</v>
      </c>
      <c r="B85" s="160" t="s">
        <v>178</v>
      </c>
      <c r="C85" s="157" t="s">
        <v>179</v>
      </c>
      <c r="D85" s="159" t="s">
        <v>119</v>
      </c>
      <c r="E85" s="159" t="s">
        <v>363</v>
      </c>
      <c r="F85" s="159" t="s">
        <v>180</v>
      </c>
      <c r="G85" s="157" t="s">
        <v>3</v>
      </c>
      <c r="H85" s="52">
        <v>3840000000</v>
      </c>
      <c r="I85" s="39">
        <v>3840000000</v>
      </c>
      <c r="J85" s="54">
        <v>1.0000000000000001E-5</v>
      </c>
      <c r="K85" s="39">
        <v>3484641868</v>
      </c>
      <c r="L85" s="39">
        <v>37169</v>
      </c>
      <c r="M85" s="52">
        <f t="shared" si="5"/>
        <v>355358132</v>
      </c>
      <c r="N85" s="131" t="s">
        <v>82</v>
      </c>
      <c r="O85" s="29"/>
    </row>
    <row r="86" spans="1:15" ht="94.5" outlineLevel="1" x14ac:dyDescent="0.25">
      <c r="A86" s="156">
        <v>53</v>
      </c>
      <c r="B86" s="146" t="s">
        <v>181</v>
      </c>
      <c r="C86" s="134" t="s">
        <v>179</v>
      </c>
      <c r="D86" s="134" t="s">
        <v>149</v>
      </c>
      <c r="E86" s="157" t="s">
        <v>364</v>
      </c>
      <c r="F86" s="157" t="s">
        <v>182</v>
      </c>
      <c r="G86" s="157" t="s">
        <v>57</v>
      </c>
      <c r="H86" s="55">
        <v>8944984.0899999999</v>
      </c>
      <c r="I86" s="39">
        <v>8944984.0899999999</v>
      </c>
      <c r="J86" s="56">
        <v>7.4999999999999997E-3</v>
      </c>
      <c r="K86" s="39">
        <v>2425758.4</v>
      </c>
      <c r="L86" s="39">
        <f>881276.03+25084.35</f>
        <v>906360.38</v>
      </c>
      <c r="M86" s="42">
        <f t="shared" si="5"/>
        <v>6519225.6899999995</v>
      </c>
      <c r="N86" s="136" t="s">
        <v>82</v>
      </c>
    </row>
    <row r="87" spans="1:15" ht="63" customHeight="1" outlineLevel="1" x14ac:dyDescent="0.25">
      <c r="A87" s="198">
        <v>54</v>
      </c>
      <c r="B87" s="205" t="s">
        <v>183</v>
      </c>
      <c r="C87" s="199" t="s">
        <v>179</v>
      </c>
      <c r="D87" s="199" t="s">
        <v>149</v>
      </c>
      <c r="E87" s="199" t="s">
        <v>365</v>
      </c>
      <c r="F87" s="157" t="s">
        <v>184</v>
      </c>
      <c r="G87" s="157" t="s">
        <v>3</v>
      </c>
      <c r="H87" s="55">
        <v>93025000</v>
      </c>
      <c r="I87" s="39">
        <v>93025000</v>
      </c>
      <c r="J87" s="56">
        <v>7.4999999999999997E-3</v>
      </c>
      <c r="K87" s="39">
        <v>13953750</v>
      </c>
      <c r="L87" s="39">
        <f>8639616.28+303064</f>
        <v>8942680.2799999993</v>
      </c>
      <c r="M87" s="42">
        <f t="shared" si="5"/>
        <v>79071250</v>
      </c>
      <c r="N87" s="196" t="s">
        <v>82</v>
      </c>
    </row>
    <row r="88" spans="1:15" ht="63" customHeight="1" outlineLevel="1" x14ac:dyDescent="0.25">
      <c r="A88" s="188"/>
      <c r="B88" s="206"/>
      <c r="C88" s="191"/>
      <c r="D88" s="191"/>
      <c r="E88" s="191"/>
      <c r="F88" s="157" t="s">
        <v>184</v>
      </c>
      <c r="G88" s="157" t="s">
        <v>57</v>
      </c>
      <c r="H88" s="55">
        <v>5217725</v>
      </c>
      <c r="I88" s="39">
        <v>5217725</v>
      </c>
      <c r="J88" s="56">
        <v>7.4999999999999997E-3</v>
      </c>
      <c r="K88" s="39">
        <v>782658.5</v>
      </c>
      <c r="L88" s="39">
        <f>505356.93+16873.26</f>
        <v>522230.19</v>
      </c>
      <c r="M88" s="42">
        <f t="shared" si="5"/>
        <v>4435066.5</v>
      </c>
      <c r="N88" s="197"/>
    </row>
    <row r="89" spans="1:15" ht="94.5" outlineLevel="1" x14ac:dyDescent="0.25">
      <c r="A89" s="156">
        <v>55</v>
      </c>
      <c r="B89" s="146" t="s">
        <v>185</v>
      </c>
      <c r="C89" s="134" t="s">
        <v>179</v>
      </c>
      <c r="D89" s="134" t="s">
        <v>149</v>
      </c>
      <c r="E89" s="157" t="s">
        <v>366</v>
      </c>
      <c r="F89" s="157" t="s">
        <v>186</v>
      </c>
      <c r="G89" s="157" t="s">
        <v>57</v>
      </c>
      <c r="H89" s="55">
        <v>1989000</v>
      </c>
      <c r="I89" s="39">
        <v>1989000</v>
      </c>
      <c r="J89" s="56">
        <v>7.4999999999999997E-3</v>
      </c>
      <c r="K89" s="39">
        <v>337118.7</v>
      </c>
      <c r="L89" s="39">
        <f>164634.31+6338.29</f>
        <v>170972.6</v>
      </c>
      <c r="M89" s="42">
        <f t="shared" si="5"/>
        <v>1651881.3</v>
      </c>
      <c r="N89" s="136" t="s">
        <v>82</v>
      </c>
    </row>
    <row r="90" spans="1:15" ht="108" customHeight="1" outlineLevel="1" x14ac:dyDescent="0.25">
      <c r="A90" s="156">
        <v>56</v>
      </c>
      <c r="B90" s="146" t="s">
        <v>312</v>
      </c>
      <c r="C90" s="134" t="s">
        <v>313</v>
      </c>
      <c r="D90" s="134" t="s">
        <v>149</v>
      </c>
      <c r="E90" s="134" t="s">
        <v>367</v>
      </c>
      <c r="F90" s="134" t="s">
        <v>314</v>
      </c>
      <c r="G90" s="157" t="s">
        <v>3</v>
      </c>
      <c r="H90" s="55">
        <v>2047212646</v>
      </c>
      <c r="I90" s="153">
        <v>2047212646</v>
      </c>
      <c r="J90" s="56">
        <v>0.02</v>
      </c>
      <c r="K90" s="39">
        <v>0</v>
      </c>
      <c r="L90" s="39">
        <v>88017538.400000006</v>
      </c>
      <c r="M90" s="42">
        <v>2047212646</v>
      </c>
      <c r="N90" s="136" t="s">
        <v>82</v>
      </c>
    </row>
    <row r="91" spans="1:15" ht="153.75" customHeight="1" outlineLevel="1" x14ac:dyDescent="0.25">
      <c r="A91" s="144">
        <v>57</v>
      </c>
      <c r="B91" s="146" t="s">
        <v>187</v>
      </c>
      <c r="C91" s="134" t="s">
        <v>188</v>
      </c>
      <c r="D91" s="134" t="s">
        <v>99</v>
      </c>
      <c r="E91" s="134" t="s">
        <v>368</v>
      </c>
      <c r="F91" s="134" t="s">
        <v>189</v>
      </c>
      <c r="G91" s="157" t="s">
        <v>57</v>
      </c>
      <c r="H91" s="55">
        <v>2217000</v>
      </c>
      <c r="I91" s="55">
        <v>2217000</v>
      </c>
      <c r="J91" s="88">
        <v>0.02</v>
      </c>
      <c r="K91" s="39">
        <v>1656550.78</v>
      </c>
      <c r="L91" s="39">
        <v>108750.1203452351</v>
      </c>
      <c r="M91" s="42">
        <v>1010837.1</v>
      </c>
      <c r="N91" s="136" t="s">
        <v>190</v>
      </c>
    </row>
    <row r="92" spans="1:15" ht="123" customHeight="1" outlineLevel="1" x14ac:dyDescent="0.25">
      <c r="A92" s="156">
        <v>58</v>
      </c>
      <c r="B92" s="160" t="s">
        <v>301</v>
      </c>
      <c r="C92" s="157" t="s">
        <v>302</v>
      </c>
      <c r="D92" s="157" t="s">
        <v>303</v>
      </c>
      <c r="E92" s="157" t="s">
        <v>369</v>
      </c>
      <c r="F92" s="134" t="s">
        <v>304</v>
      </c>
      <c r="G92" s="157" t="s">
        <v>35</v>
      </c>
      <c r="H92" s="55">
        <v>4199559.68</v>
      </c>
      <c r="I92" s="55">
        <v>4199559.68</v>
      </c>
      <c r="J92" s="88" t="s">
        <v>305</v>
      </c>
      <c r="K92" s="39"/>
      <c r="L92" s="89">
        <v>77849.88</v>
      </c>
      <c r="M92" s="42">
        <v>4199559.68</v>
      </c>
      <c r="N92" s="136" t="s">
        <v>306</v>
      </c>
    </row>
    <row r="93" spans="1:15" s="30" customFormat="1" ht="52.5" customHeight="1" outlineLevel="1" x14ac:dyDescent="0.2">
      <c r="A93" s="235">
        <v>59</v>
      </c>
      <c r="B93" s="212" t="s">
        <v>191</v>
      </c>
      <c r="C93" s="207" t="s">
        <v>192</v>
      </c>
      <c r="D93" s="207"/>
      <c r="E93" s="208" t="s">
        <v>370</v>
      </c>
      <c r="F93" s="201" t="s">
        <v>193</v>
      </c>
      <c r="G93" s="43" t="s">
        <v>57</v>
      </c>
      <c r="H93" s="52">
        <v>237758.39</v>
      </c>
      <c r="I93" s="39">
        <v>237758.39</v>
      </c>
      <c r="J93" s="45"/>
      <c r="K93" s="39"/>
      <c r="L93" s="39"/>
      <c r="M93" s="52">
        <f>I93-K93</f>
        <v>237758.39</v>
      </c>
      <c r="N93" s="196" t="s">
        <v>82</v>
      </c>
      <c r="O93" s="29"/>
    </row>
    <row r="94" spans="1:15" s="30" customFormat="1" ht="52.5" customHeight="1" outlineLevel="1" x14ac:dyDescent="0.2">
      <c r="A94" s="235"/>
      <c r="B94" s="206"/>
      <c r="C94" s="191"/>
      <c r="D94" s="191"/>
      <c r="E94" s="192"/>
      <c r="F94" s="192"/>
      <c r="G94" s="72" t="s">
        <v>3</v>
      </c>
      <c r="H94" s="58">
        <v>28883700</v>
      </c>
      <c r="I94" s="39">
        <v>28883700</v>
      </c>
      <c r="J94" s="155"/>
      <c r="K94" s="39"/>
      <c r="L94" s="39"/>
      <c r="M94" s="52">
        <f>I94-K94</f>
        <v>28883700</v>
      </c>
      <c r="N94" s="197"/>
      <c r="O94" s="29"/>
    </row>
    <row r="95" spans="1:15" s="27" customFormat="1" ht="83.25" customHeight="1" outlineLevel="1" x14ac:dyDescent="0.25">
      <c r="A95" s="144">
        <v>60</v>
      </c>
      <c r="B95" s="146" t="s">
        <v>117</v>
      </c>
      <c r="C95" s="134" t="s">
        <v>118</v>
      </c>
      <c r="D95" s="134" t="s">
        <v>119</v>
      </c>
      <c r="E95" s="134" t="s">
        <v>371</v>
      </c>
      <c r="F95" s="134" t="s">
        <v>120</v>
      </c>
      <c r="G95" s="134" t="s">
        <v>3</v>
      </c>
      <c r="H95" s="153">
        <v>303444194</v>
      </c>
      <c r="I95" s="39">
        <v>303444194</v>
      </c>
      <c r="J95" s="155">
        <v>0</v>
      </c>
      <c r="K95" s="39"/>
      <c r="L95" s="39"/>
      <c r="M95" s="59">
        <f>I95-K95</f>
        <v>303444194</v>
      </c>
      <c r="N95" s="136" t="s">
        <v>82</v>
      </c>
      <c r="O95" s="26"/>
    </row>
    <row r="96" spans="1:15" s="27" customFormat="1" ht="91.5" customHeight="1" outlineLevel="1" x14ac:dyDescent="0.25">
      <c r="A96" s="156">
        <v>61</v>
      </c>
      <c r="B96" s="157" t="s">
        <v>194</v>
      </c>
      <c r="C96" s="157" t="s">
        <v>195</v>
      </c>
      <c r="D96" s="157" t="s">
        <v>196</v>
      </c>
      <c r="E96" s="51" t="s">
        <v>372</v>
      </c>
      <c r="F96" s="157" t="s">
        <v>197</v>
      </c>
      <c r="G96" s="157" t="s">
        <v>57</v>
      </c>
      <c r="H96" s="39">
        <v>10000000</v>
      </c>
      <c r="I96" s="39">
        <v>10000000</v>
      </c>
      <c r="J96" s="44" t="s">
        <v>198</v>
      </c>
      <c r="K96" s="39">
        <v>2553676.86</v>
      </c>
      <c r="L96" s="39">
        <f>3533579.15874841+18816925/512.41+16022937.4/426.85+37537.63+37130</f>
        <v>3682506.8188604596</v>
      </c>
      <c r="M96" s="42">
        <f t="shared" si="5"/>
        <v>7446323.1400000006</v>
      </c>
      <c r="N96" s="126" t="s">
        <v>199</v>
      </c>
      <c r="O96" s="26"/>
    </row>
    <row r="97" spans="1:16" s="27" customFormat="1" ht="91.5" customHeight="1" outlineLevel="1" thickBot="1" x14ac:dyDescent="0.3">
      <c r="A97" s="156">
        <v>62</v>
      </c>
      <c r="B97" s="157" t="s">
        <v>194</v>
      </c>
      <c r="C97" s="157" t="s">
        <v>139</v>
      </c>
      <c r="D97" s="157" t="s">
        <v>196</v>
      </c>
      <c r="E97" s="51" t="s">
        <v>373</v>
      </c>
      <c r="F97" s="157" t="s">
        <v>200</v>
      </c>
      <c r="G97" s="157" t="s">
        <v>3</v>
      </c>
      <c r="H97" s="39">
        <v>8000000000</v>
      </c>
      <c r="I97" s="39">
        <v>8000000000</v>
      </c>
      <c r="J97" s="44" t="s">
        <v>201</v>
      </c>
      <c r="K97" s="39"/>
      <c r="L97" s="39">
        <f>3496438357+79342466+80657534</f>
        <v>3656438357</v>
      </c>
      <c r="M97" s="42">
        <f>I97-K97</f>
        <v>8000000000</v>
      </c>
      <c r="N97" s="126" t="s">
        <v>202</v>
      </c>
      <c r="O97" s="26"/>
    </row>
    <row r="98" spans="1:16" s="79" customFormat="1" ht="24.75" customHeight="1" x14ac:dyDescent="0.25">
      <c r="A98" s="218" t="s">
        <v>203</v>
      </c>
      <c r="B98" s="219"/>
      <c r="C98" s="219"/>
      <c r="D98" s="222" t="s">
        <v>35</v>
      </c>
      <c r="E98" s="222"/>
      <c r="F98" s="222"/>
      <c r="G98" s="90"/>
      <c r="H98" s="86">
        <f>SUMIF($G$73:$G$97,D98,$H$73:$H$97)</f>
        <v>25699559.68</v>
      </c>
      <c r="I98" s="86">
        <f>SUMIF($G$73:$G$97,D98,$I$73:$I$97)</f>
        <v>5664515.46</v>
      </c>
      <c r="J98" s="86"/>
      <c r="K98" s="86">
        <f>SUMIF($G$73:$G$97,D98,$K$73:$K$97)</f>
        <v>21818.170627355128</v>
      </c>
      <c r="L98" s="86">
        <f>SUMIF($G$73:$G$97,D98,$L$73:$L$97)</f>
        <v>238081.19959568186</v>
      </c>
      <c r="M98" s="86">
        <f>SUMIF($G$73:$G$97,D98,$M$73:$M$97)</f>
        <v>5642697.2893726444</v>
      </c>
      <c r="N98" s="127"/>
      <c r="O98" s="28"/>
    </row>
    <row r="99" spans="1:16" s="79" customFormat="1" ht="39" customHeight="1" x14ac:dyDescent="0.25">
      <c r="A99" s="220"/>
      <c r="B99" s="221"/>
      <c r="C99" s="221"/>
      <c r="D99" s="223" t="s">
        <v>3</v>
      </c>
      <c r="E99" s="223"/>
      <c r="F99" s="223"/>
      <c r="G99" s="80"/>
      <c r="H99" s="81">
        <f>SUMIF($G$73:$G$97,D99,$H$73:$H$97)</f>
        <v>16940988508.200001</v>
      </c>
      <c r="I99" s="81">
        <f>SUMIF($G$73:$G$97,D99,$I$73:$I$97)</f>
        <v>17041113555.5</v>
      </c>
      <c r="J99" s="81"/>
      <c r="K99" s="81">
        <f>SUMIF($G$73:$G$97,D99,$K$73:$K$97)</f>
        <v>3541477510.9000001</v>
      </c>
      <c r="L99" s="81">
        <f>SUMIF($G$73:$G$97,D99,$L$73:$L$97)</f>
        <v>3755554979.1799998</v>
      </c>
      <c r="M99" s="81">
        <f>SUMIF($G$73:$G$97,D99,$M$73:$M$97)</f>
        <v>13499636044.6</v>
      </c>
      <c r="N99" s="128"/>
      <c r="O99" s="28"/>
    </row>
    <row r="100" spans="1:16" s="79" customFormat="1" ht="39" customHeight="1" x14ac:dyDescent="0.25">
      <c r="A100" s="220"/>
      <c r="B100" s="221"/>
      <c r="C100" s="221"/>
      <c r="D100" s="223" t="s">
        <v>57</v>
      </c>
      <c r="E100" s="223"/>
      <c r="F100" s="223"/>
      <c r="G100" s="80"/>
      <c r="H100" s="81">
        <f>SUMIF($G$73:$G$97,D100,$H$73:$H$97)</f>
        <v>32967799.48</v>
      </c>
      <c r="I100" s="81">
        <f>SUMIF($G$73:$G$97,D100,$I$73:$I$97)</f>
        <v>29729856.109999999</v>
      </c>
      <c r="J100" s="81"/>
      <c r="K100" s="81">
        <f>SUMIF($G$73:$G$97,D100,$K$73:$K$97)</f>
        <v>8362262.5963736083</v>
      </c>
      <c r="L100" s="81">
        <f>SUMIF($G$73:$G$97,D100,$L$73:$L$97)</f>
        <v>5747790.0892056944</v>
      </c>
      <c r="M100" s="81">
        <f>SUMIF($G$73:$G$97,D100,$M$73:$M$97)</f>
        <v>21817981.393626392</v>
      </c>
      <c r="N100" s="128"/>
      <c r="O100" s="28"/>
    </row>
    <row r="101" spans="1:16" s="79" customFormat="1" ht="39" customHeight="1" thickBot="1" x14ac:dyDescent="0.3">
      <c r="A101" s="232"/>
      <c r="B101" s="233"/>
      <c r="C101" s="233"/>
      <c r="D101" s="234" t="s">
        <v>77</v>
      </c>
      <c r="E101" s="234"/>
      <c r="F101" s="234"/>
      <c r="G101" s="84"/>
      <c r="H101" s="85">
        <f>SUMIF($G$73:$G$97,D101,$H$73:$H$97)</f>
        <v>0</v>
      </c>
      <c r="I101" s="85">
        <f>SUMIF($G$73:$G$97,D101,$I$73:$I$97)</f>
        <v>0</v>
      </c>
      <c r="J101" s="85"/>
      <c r="K101" s="85">
        <f>SUMIF($G$73:$G$97,D101,$K$73:$K$97)</f>
        <v>0</v>
      </c>
      <c r="L101" s="85">
        <f>SUMIF($G$73:$G$97,D101,$L$73:$L$97)</f>
        <v>0</v>
      </c>
      <c r="M101" s="85">
        <f>SUMIF($G$73:$G$97,D101,$M$73:$M$97)</f>
        <v>0</v>
      </c>
      <c r="N101" s="130"/>
      <c r="O101" s="28"/>
    </row>
    <row r="102" spans="1:16" s="30" customFormat="1" ht="156.75" customHeight="1" outlineLevel="1" x14ac:dyDescent="0.2">
      <c r="A102" s="156">
        <v>63</v>
      </c>
      <c r="B102" s="134" t="s">
        <v>0</v>
      </c>
      <c r="C102" s="134" t="s">
        <v>1</v>
      </c>
      <c r="D102" s="134"/>
      <c r="E102" s="143" t="s">
        <v>374</v>
      </c>
      <c r="F102" s="143" t="s">
        <v>204</v>
      </c>
      <c r="G102" s="157" t="s">
        <v>3</v>
      </c>
      <c r="H102" s="58">
        <f>3047000000+3000000000</f>
        <v>6047000000</v>
      </c>
      <c r="I102" s="46">
        <v>6000000000</v>
      </c>
      <c r="J102" s="155"/>
      <c r="K102" s="46">
        <f>4439902959+260956717.5+995441267.7+73262192.2+103703140+88648827.6+23704487.9</f>
        <v>5985619591.8999996</v>
      </c>
      <c r="L102" s="46"/>
      <c r="M102" s="153">
        <f>I102-K102</f>
        <v>14380408.100000381</v>
      </c>
      <c r="N102" s="147" t="s">
        <v>82</v>
      </c>
      <c r="O102" s="29"/>
    </row>
    <row r="103" spans="1:16" s="30" customFormat="1" ht="135" outlineLevel="1" x14ac:dyDescent="0.2">
      <c r="A103" s="156">
        <v>64</v>
      </c>
      <c r="B103" s="134" t="s">
        <v>4</v>
      </c>
      <c r="C103" s="134" t="s">
        <v>5</v>
      </c>
      <c r="D103" s="134"/>
      <c r="E103" s="143"/>
      <c r="F103" s="143" t="s">
        <v>391</v>
      </c>
      <c r="G103" s="157" t="s">
        <v>3</v>
      </c>
      <c r="H103" s="39">
        <f>2000000000+7300000000</f>
        <v>9300000000</v>
      </c>
      <c r="I103" s="46">
        <f>9024295000</f>
        <v>9024295000</v>
      </c>
      <c r="J103" s="155" t="s">
        <v>205</v>
      </c>
      <c r="K103" s="46">
        <f>140537000+5009140+4849511288.30001+293553946.6+277518975.4+298090130.9+261563425.9+273040297.9+246795505.7+231942835.5+200000+87368316.3+276040115.2+210499563.5</f>
        <v>7451670541.2000084</v>
      </c>
      <c r="L103" s="46">
        <f>34040214.6+16030636.8+1797857.1+7375602.5+3983531.1+11814600.3</f>
        <v>75042442.400000006</v>
      </c>
      <c r="M103" s="153">
        <f>I103-K103</f>
        <v>1572624458.7999916</v>
      </c>
      <c r="N103" s="147" t="s">
        <v>82</v>
      </c>
      <c r="O103" s="29"/>
    </row>
    <row r="104" spans="1:16" s="30" customFormat="1" ht="175.5" outlineLevel="1" x14ac:dyDescent="0.2">
      <c r="A104" s="156">
        <v>65</v>
      </c>
      <c r="B104" s="134" t="s">
        <v>4</v>
      </c>
      <c r="C104" s="134" t="s">
        <v>7</v>
      </c>
      <c r="D104" s="134"/>
      <c r="E104" s="143" t="s">
        <v>375</v>
      </c>
      <c r="F104" s="143" t="s">
        <v>8</v>
      </c>
      <c r="G104" s="157" t="s">
        <v>3</v>
      </c>
      <c r="H104" s="39">
        <v>562500000</v>
      </c>
      <c r="I104" s="46">
        <v>562500000</v>
      </c>
      <c r="J104" s="155"/>
      <c r="K104" s="46"/>
      <c r="L104" s="46"/>
      <c r="M104" s="59">
        <f t="shared" ref="M104:M124" si="6">I104-K104</f>
        <v>562500000</v>
      </c>
      <c r="N104" s="147" t="s">
        <v>82</v>
      </c>
      <c r="O104" s="29"/>
    </row>
    <row r="105" spans="1:16" s="30" customFormat="1" ht="147" customHeight="1" outlineLevel="1" x14ac:dyDescent="0.2">
      <c r="A105" s="156">
        <v>66</v>
      </c>
      <c r="B105" s="199" t="s">
        <v>0</v>
      </c>
      <c r="C105" s="199" t="s">
        <v>9</v>
      </c>
      <c r="D105" s="134"/>
      <c r="E105" s="143" t="s">
        <v>10</v>
      </c>
      <c r="F105" s="143" t="s">
        <v>11</v>
      </c>
      <c r="G105" s="157" t="s">
        <v>3</v>
      </c>
      <c r="H105" s="39">
        <v>2000000000</v>
      </c>
      <c r="I105" s="46">
        <v>2000000000</v>
      </c>
      <c r="J105" s="45">
        <v>2.7E-2</v>
      </c>
      <c r="K105" s="46"/>
      <c r="L105" s="46">
        <f>68417269.8+13462993.2+49643.9+1421840.5</f>
        <v>83351747.400000006</v>
      </c>
      <c r="M105" s="42">
        <f t="shared" si="6"/>
        <v>2000000000</v>
      </c>
      <c r="N105" s="147" t="s">
        <v>82</v>
      </c>
      <c r="O105" s="29"/>
    </row>
    <row r="106" spans="1:16" s="30" customFormat="1" ht="144.75" customHeight="1" outlineLevel="1" x14ac:dyDescent="0.2">
      <c r="A106" s="156">
        <v>67</v>
      </c>
      <c r="B106" s="207"/>
      <c r="C106" s="207"/>
      <c r="D106" s="57"/>
      <c r="E106" s="143" t="s">
        <v>12</v>
      </c>
      <c r="F106" s="143" t="s">
        <v>13</v>
      </c>
      <c r="G106" s="140" t="s">
        <v>3</v>
      </c>
      <c r="H106" s="39">
        <v>2000000000</v>
      </c>
      <c r="I106" s="46">
        <v>2000000000</v>
      </c>
      <c r="J106" s="91">
        <v>5.7000000000000002E-2</v>
      </c>
      <c r="K106" s="46"/>
      <c r="L106" s="46">
        <f>153819379.6+28421448.8+780809.1</f>
        <v>183021637.5</v>
      </c>
      <c r="M106" s="42">
        <f t="shared" si="6"/>
        <v>2000000000</v>
      </c>
      <c r="N106" s="147" t="s">
        <v>82</v>
      </c>
      <c r="O106" s="29"/>
    </row>
    <row r="107" spans="1:16" s="30" customFormat="1" ht="90.75" customHeight="1" outlineLevel="1" thickBot="1" x14ac:dyDescent="0.25">
      <c r="A107" s="92">
        <v>68</v>
      </c>
      <c r="B107" s="247"/>
      <c r="C107" s="247"/>
      <c r="D107" s="125"/>
      <c r="E107" s="143" t="s">
        <v>392</v>
      </c>
      <c r="F107" s="93" t="s">
        <v>206</v>
      </c>
      <c r="G107" s="149" t="s">
        <v>3</v>
      </c>
      <c r="H107" s="94">
        <v>5000000000</v>
      </c>
      <c r="I107" s="95">
        <v>5000000000</v>
      </c>
      <c r="J107" s="96">
        <v>2.7E-2</v>
      </c>
      <c r="K107" s="95"/>
      <c r="L107" s="95">
        <f>34209157.5+76580313.4</f>
        <v>110789470.90000001</v>
      </c>
      <c r="M107" s="97">
        <f t="shared" si="6"/>
        <v>5000000000</v>
      </c>
      <c r="N107" s="147" t="s">
        <v>82</v>
      </c>
      <c r="O107" s="29"/>
    </row>
    <row r="108" spans="1:16" s="79" customFormat="1" ht="30" customHeight="1" x14ac:dyDescent="0.25">
      <c r="A108" s="239" t="s">
        <v>207</v>
      </c>
      <c r="B108" s="240"/>
      <c r="C108" s="240"/>
      <c r="D108" s="241" t="s">
        <v>35</v>
      </c>
      <c r="E108" s="242"/>
      <c r="F108" s="243"/>
      <c r="G108" s="74"/>
      <c r="H108" s="98">
        <f>SUMIF($G$102:$G$107,D108,$H$102:$H$107)</f>
        <v>0</v>
      </c>
      <c r="I108" s="98">
        <f>SUMIF($G$102:$G$107,D108,$I$102:$I$107)</f>
        <v>0</v>
      </c>
      <c r="J108" s="98"/>
      <c r="K108" s="98">
        <f>SUMIF($G$102:$G$107,D108,$K$102:$K$107)</f>
        <v>0</v>
      </c>
      <c r="L108" s="98">
        <f>SUMIF($G$102:$G$107,D108,$L$102:$L$107)</f>
        <v>0</v>
      </c>
      <c r="M108" s="98">
        <f>SUMIF($G$102:$G$107,D108,$M$102:$M$107)</f>
        <v>0</v>
      </c>
      <c r="N108" s="127"/>
      <c r="O108" s="29"/>
      <c r="P108" s="30"/>
    </row>
    <row r="109" spans="1:16" s="79" customFormat="1" ht="27" customHeight="1" x14ac:dyDescent="0.25">
      <c r="A109" s="220"/>
      <c r="B109" s="221"/>
      <c r="C109" s="221"/>
      <c r="D109" s="244" t="s">
        <v>3</v>
      </c>
      <c r="E109" s="245"/>
      <c r="F109" s="246"/>
      <c r="G109" s="80"/>
      <c r="H109" s="98">
        <f>SUMIF($G$102:$G$107,D109,$H$102:$H$107)</f>
        <v>24909500000</v>
      </c>
      <c r="I109" s="81">
        <f>SUMIF($G$102:$G$107,D109,$I$102:$I$107)</f>
        <v>24586795000</v>
      </c>
      <c r="J109" s="81"/>
      <c r="K109" s="81">
        <f>SUMIF($G$102:$G$107,D109,$K$102:$K$107)</f>
        <v>13437290133.100008</v>
      </c>
      <c r="L109" s="81">
        <f>SUMIF($G$102:$G$107,D109,$L$102:$L$107)</f>
        <v>452205298.20000005</v>
      </c>
      <c r="M109" s="81">
        <f>SUMIF($G$102:$G$107,D109,$M$102:$M$107)</f>
        <v>11149504866.899992</v>
      </c>
      <c r="N109" s="128"/>
      <c r="O109" s="29"/>
      <c r="P109" s="30"/>
    </row>
    <row r="110" spans="1:16" s="79" customFormat="1" ht="28.5" customHeight="1" x14ac:dyDescent="0.25">
      <c r="A110" s="220"/>
      <c r="B110" s="221"/>
      <c r="C110" s="221"/>
      <c r="D110" s="244" t="s">
        <v>57</v>
      </c>
      <c r="E110" s="245"/>
      <c r="F110" s="246"/>
      <c r="G110" s="80"/>
      <c r="H110" s="98">
        <f>SUMIF($G$102:$G$107,D110,$H$102:$H$107)</f>
        <v>0</v>
      </c>
      <c r="I110" s="81">
        <f>SUMIF($G$102:$G$107,D110,$I$102:$I$107)</f>
        <v>0</v>
      </c>
      <c r="J110" s="81"/>
      <c r="K110" s="81">
        <f>SUMIF($G$102:$G$107,D110,$K$102:$K$107)</f>
        <v>0</v>
      </c>
      <c r="L110" s="81">
        <f>SUMIF($G$102:$G$107,D110,$L$102:$L$107)</f>
        <v>0</v>
      </c>
      <c r="M110" s="81">
        <f>SUMIF($G$102:$G$107,D110,$M$102:$M$107)</f>
        <v>0</v>
      </c>
      <c r="N110" s="128"/>
      <c r="O110" s="28"/>
    </row>
    <row r="111" spans="1:16" s="79" customFormat="1" ht="30" customHeight="1" thickBot="1" x14ac:dyDescent="0.3">
      <c r="A111" s="232"/>
      <c r="B111" s="233"/>
      <c r="C111" s="233"/>
      <c r="D111" s="225" t="s">
        <v>77</v>
      </c>
      <c r="E111" s="226"/>
      <c r="F111" s="227"/>
      <c r="G111" s="84"/>
      <c r="H111" s="85">
        <f>SUMIF($G$102:$G$107,D111,$H$102:$H$107)</f>
        <v>0</v>
      </c>
      <c r="I111" s="85">
        <f>SUMIF($G$102:$G$107,D111,$I$102:$I$107)</f>
        <v>0</v>
      </c>
      <c r="J111" s="85"/>
      <c r="K111" s="85">
        <f>SUMIF($G$102:$G$107,D111,$K$102:$K$107)</f>
        <v>0</v>
      </c>
      <c r="L111" s="85">
        <f>SUMIF($G$102:$G$107,D111,$L$102:$L$107)</f>
        <v>0</v>
      </c>
      <c r="M111" s="85">
        <f>SUMIF($G$102:$G$107,D111,$M$102:$M$107)</f>
        <v>0</v>
      </c>
      <c r="N111" s="130"/>
      <c r="O111" s="28"/>
    </row>
    <row r="112" spans="1:16" s="30" customFormat="1" ht="121.5" outlineLevel="1" x14ac:dyDescent="0.2">
      <c r="A112" s="145">
        <v>69</v>
      </c>
      <c r="B112" s="138" t="s">
        <v>208</v>
      </c>
      <c r="C112" s="138" t="s">
        <v>209</v>
      </c>
      <c r="D112" s="134"/>
      <c r="E112" s="143" t="s">
        <v>376</v>
      </c>
      <c r="F112" s="143" t="s">
        <v>210</v>
      </c>
      <c r="G112" s="157" t="s">
        <v>3</v>
      </c>
      <c r="H112" s="99">
        <v>574491741</v>
      </c>
      <c r="I112" s="99">
        <v>574491741</v>
      </c>
      <c r="J112" s="162">
        <v>1E-4</v>
      </c>
      <c r="K112" s="99"/>
      <c r="L112" s="99">
        <f>85623+14165</f>
        <v>99788</v>
      </c>
      <c r="M112" s="73">
        <f t="shared" si="6"/>
        <v>574491741</v>
      </c>
      <c r="N112" s="148" t="s">
        <v>211</v>
      </c>
      <c r="O112" s="29"/>
    </row>
    <row r="113" spans="1:15" s="30" customFormat="1" ht="121.5" outlineLevel="1" x14ac:dyDescent="0.2">
      <c r="A113" s="156">
        <v>70</v>
      </c>
      <c r="B113" s="146" t="s">
        <v>212</v>
      </c>
      <c r="C113" s="146" t="s">
        <v>209</v>
      </c>
      <c r="D113" s="134"/>
      <c r="E113" s="143" t="s">
        <v>377</v>
      </c>
      <c r="F113" s="143" t="s">
        <v>213</v>
      </c>
      <c r="G113" s="157" t="s">
        <v>3</v>
      </c>
      <c r="H113" s="58">
        <v>98612371</v>
      </c>
      <c r="I113" s="52">
        <v>98612371</v>
      </c>
      <c r="J113" s="150">
        <v>1E-4</v>
      </c>
      <c r="K113" s="52"/>
      <c r="L113" s="52">
        <v>17060</v>
      </c>
      <c r="M113" s="59">
        <f t="shared" si="6"/>
        <v>98612371</v>
      </c>
      <c r="N113" s="147" t="s">
        <v>214</v>
      </c>
      <c r="O113" s="29"/>
    </row>
    <row r="114" spans="1:15" s="30" customFormat="1" ht="121.5" outlineLevel="1" x14ac:dyDescent="0.2">
      <c r="A114" s="156">
        <v>71</v>
      </c>
      <c r="B114" s="146" t="s">
        <v>215</v>
      </c>
      <c r="C114" s="146" t="s">
        <v>209</v>
      </c>
      <c r="D114" s="134"/>
      <c r="E114" s="143" t="s">
        <v>378</v>
      </c>
      <c r="F114" s="143" t="s">
        <v>216</v>
      </c>
      <c r="G114" s="157" t="s">
        <v>3</v>
      </c>
      <c r="H114" s="58">
        <v>60132468</v>
      </c>
      <c r="I114" s="52">
        <v>60132468</v>
      </c>
      <c r="J114" s="150">
        <v>1E-4</v>
      </c>
      <c r="K114" s="52">
        <f>4625574.5+4625574.5+4625574.5</f>
        <v>13876723.5</v>
      </c>
      <c r="L114" s="52">
        <f>10367+1511.2+1400+1500</f>
        <v>14778.2</v>
      </c>
      <c r="M114" s="59">
        <f t="shared" si="6"/>
        <v>46255744.5</v>
      </c>
      <c r="N114" s="147" t="s">
        <v>217</v>
      </c>
      <c r="O114" s="31"/>
    </row>
    <row r="115" spans="1:15" s="30" customFormat="1" ht="121.5" outlineLevel="1" x14ac:dyDescent="0.2">
      <c r="A115" s="156">
        <v>72</v>
      </c>
      <c r="B115" s="146" t="s">
        <v>218</v>
      </c>
      <c r="C115" s="146" t="s">
        <v>209</v>
      </c>
      <c r="D115" s="134"/>
      <c r="E115" s="143" t="s">
        <v>379</v>
      </c>
      <c r="F115" s="143" t="s">
        <v>219</v>
      </c>
      <c r="G115" s="157" t="s">
        <v>3</v>
      </c>
      <c r="H115" s="39">
        <f>9500000+12453199</f>
        <v>21953199</v>
      </c>
      <c r="I115" s="52">
        <f>9500000+12453199</f>
        <v>21953199</v>
      </c>
      <c r="J115" s="150">
        <v>1E-4</v>
      </c>
      <c r="K115" s="52"/>
      <c r="L115" s="52">
        <v>3720</v>
      </c>
      <c r="M115" s="59">
        <f t="shared" si="6"/>
        <v>21953199</v>
      </c>
      <c r="N115" s="147" t="s">
        <v>220</v>
      </c>
      <c r="O115" s="31"/>
    </row>
    <row r="116" spans="1:15" s="30" customFormat="1" ht="129.75" customHeight="1" outlineLevel="1" x14ac:dyDescent="0.2">
      <c r="A116" s="156">
        <v>73</v>
      </c>
      <c r="B116" s="146" t="s">
        <v>221</v>
      </c>
      <c r="C116" s="146" t="s">
        <v>209</v>
      </c>
      <c r="D116" s="134"/>
      <c r="E116" s="143" t="s">
        <v>379</v>
      </c>
      <c r="F116" s="143" t="s">
        <v>222</v>
      </c>
      <c r="G116" s="157" t="s">
        <v>3</v>
      </c>
      <c r="H116" s="58">
        <v>15801400</v>
      </c>
      <c r="I116" s="52">
        <v>15801400</v>
      </c>
      <c r="J116" s="150">
        <v>1E-4</v>
      </c>
      <c r="K116" s="52"/>
      <c r="L116" s="52">
        <v>3500</v>
      </c>
      <c r="M116" s="59">
        <f t="shared" si="6"/>
        <v>15801400</v>
      </c>
      <c r="N116" s="147" t="s">
        <v>223</v>
      </c>
      <c r="O116" s="31"/>
    </row>
    <row r="117" spans="1:15" s="30" customFormat="1" ht="129.75" customHeight="1" outlineLevel="1" x14ac:dyDescent="0.2">
      <c r="A117" s="156">
        <v>74</v>
      </c>
      <c r="B117" s="146" t="s">
        <v>224</v>
      </c>
      <c r="C117" s="146" t="s">
        <v>209</v>
      </c>
      <c r="D117" s="134"/>
      <c r="E117" s="143" t="s">
        <v>379</v>
      </c>
      <c r="F117" s="143" t="s">
        <v>222</v>
      </c>
      <c r="G117" s="157" t="s">
        <v>3</v>
      </c>
      <c r="H117" s="58">
        <v>2554000</v>
      </c>
      <c r="I117" s="52">
        <v>2554000</v>
      </c>
      <c r="J117" s="150">
        <v>1E-4</v>
      </c>
      <c r="K117" s="52"/>
      <c r="L117" s="52">
        <f>500</f>
        <v>500</v>
      </c>
      <c r="M117" s="59">
        <f t="shared" si="6"/>
        <v>2554000</v>
      </c>
      <c r="N117" s="147" t="s">
        <v>225</v>
      </c>
      <c r="O117" s="31"/>
    </row>
    <row r="118" spans="1:15" s="30" customFormat="1" ht="129.75" customHeight="1" outlineLevel="1" x14ac:dyDescent="0.2">
      <c r="A118" s="156">
        <v>75</v>
      </c>
      <c r="B118" s="146" t="s">
        <v>226</v>
      </c>
      <c r="C118" s="146" t="s">
        <v>209</v>
      </c>
      <c r="D118" s="134"/>
      <c r="E118" s="143" t="s">
        <v>379</v>
      </c>
      <c r="F118" s="143" t="s">
        <v>227</v>
      </c>
      <c r="G118" s="157" t="s">
        <v>3</v>
      </c>
      <c r="H118" s="58">
        <v>29053320</v>
      </c>
      <c r="I118" s="52">
        <v>29053320</v>
      </c>
      <c r="J118" s="150">
        <v>1E-4</v>
      </c>
      <c r="K118" s="52"/>
      <c r="L118" s="52">
        <f>2000+3000</f>
        <v>5000</v>
      </c>
      <c r="M118" s="59">
        <f t="shared" si="6"/>
        <v>29053320</v>
      </c>
      <c r="N118" s="147" t="s">
        <v>228</v>
      </c>
      <c r="O118" s="31"/>
    </row>
    <row r="119" spans="1:15" s="30" customFormat="1" ht="129.75" customHeight="1" outlineLevel="1" x14ac:dyDescent="0.2">
      <c r="A119" s="156">
        <v>76</v>
      </c>
      <c r="B119" s="146" t="s">
        <v>229</v>
      </c>
      <c r="C119" s="146" t="s">
        <v>209</v>
      </c>
      <c r="D119" s="134"/>
      <c r="E119" s="143" t="s">
        <v>379</v>
      </c>
      <c r="F119" s="143" t="s">
        <v>230</v>
      </c>
      <c r="G119" s="157" t="s">
        <v>3</v>
      </c>
      <c r="H119" s="58">
        <v>192064443</v>
      </c>
      <c r="I119" s="52">
        <f>95000000+97064443</f>
        <v>192064443</v>
      </c>
      <c r="J119" s="150">
        <v>1E-4</v>
      </c>
      <c r="K119" s="52"/>
      <c r="L119" s="52">
        <f>16100+12200</f>
        <v>28300</v>
      </c>
      <c r="M119" s="59">
        <f t="shared" si="6"/>
        <v>192064443</v>
      </c>
      <c r="N119" s="147" t="s">
        <v>231</v>
      </c>
      <c r="O119" s="31"/>
    </row>
    <row r="120" spans="1:15" s="30" customFormat="1" ht="129.75" customHeight="1" outlineLevel="1" x14ac:dyDescent="0.2">
      <c r="A120" s="156">
        <v>77</v>
      </c>
      <c r="B120" s="146" t="s">
        <v>233</v>
      </c>
      <c r="C120" s="146" t="s">
        <v>209</v>
      </c>
      <c r="D120" s="134"/>
      <c r="E120" s="143" t="s">
        <v>379</v>
      </c>
      <c r="F120" s="143" t="s">
        <v>232</v>
      </c>
      <c r="G120" s="157" t="s">
        <v>3</v>
      </c>
      <c r="H120" s="58">
        <v>3469534</v>
      </c>
      <c r="I120" s="52">
        <v>3469534</v>
      </c>
      <c r="J120" s="150">
        <v>1E-4</v>
      </c>
      <c r="K120" s="52">
        <v>266887</v>
      </c>
      <c r="L120" s="52">
        <f>600+86</f>
        <v>686</v>
      </c>
      <c r="M120" s="59">
        <f t="shared" si="6"/>
        <v>3202647</v>
      </c>
      <c r="N120" s="147" t="s">
        <v>234</v>
      </c>
      <c r="O120" s="31"/>
    </row>
    <row r="121" spans="1:15" s="30" customFormat="1" ht="129.75" customHeight="1" outlineLevel="1" x14ac:dyDescent="0.2">
      <c r="A121" s="156">
        <v>78</v>
      </c>
      <c r="B121" s="146" t="s">
        <v>235</v>
      </c>
      <c r="C121" s="146" t="s">
        <v>209</v>
      </c>
      <c r="D121" s="134"/>
      <c r="E121" s="143" t="s">
        <v>379</v>
      </c>
      <c r="F121" s="143" t="s">
        <v>236</v>
      </c>
      <c r="G121" s="157" t="s">
        <v>3</v>
      </c>
      <c r="H121" s="58">
        <v>11781702</v>
      </c>
      <c r="I121" s="52">
        <v>11781702</v>
      </c>
      <c r="J121" s="150">
        <v>1E-4</v>
      </c>
      <c r="K121" s="52">
        <f>906285+906285+906285</f>
        <v>2718855</v>
      </c>
      <c r="L121" s="52">
        <f>3000+1500</f>
        <v>4500</v>
      </c>
      <c r="M121" s="59">
        <f t="shared" si="6"/>
        <v>9062847</v>
      </c>
      <c r="N121" s="147" t="s">
        <v>237</v>
      </c>
      <c r="O121" s="31"/>
    </row>
    <row r="122" spans="1:15" s="30" customFormat="1" ht="129.75" customHeight="1" outlineLevel="1" x14ac:dyDescent="0.2">
      <c r="A122" s="156">
        <v>79</v>
      </c>
      <c r="B122" s="146" t="s">
        <v>238</v>
      </c>
      <c r="C122" s="146" t="s">
        <v>209</v>
      </c>
      <c r="D122" s="134"/>
      <c r="E122" s="143" t="s">
        <v>379</v>
      </c>
      <c r="F122" s="143" t="s">
        <v>239</v>
      </c>
      <c r="G122" s="157" t="s">
        <v>3</v>
      </c>
      <c r="H122" s="58">
        <f>112000000+16200000</f>
        <v>128200000</v>
      </c>
      <c r="I122" s="52">
        <f>112000000+16200000</f>
        <v>128200000</v>
      </c>
      <c r="J122" s="150">
        <v>1E-4</v>
      </c>
      <c r="K122" s="52"/>
      <c r="L122" s="52">
        <f>25640+12820</f>
        <v>38460</v>
      </c>
      <c r="M122" s="59">
        <f t="shared" si="6"/>
        <v>128200000</v>
      </c>
      <c r="N122" s="147" t="s">
        <v>240</v>
      </c>
      <c r="O122" s="31"/>
    </row>
    <row r="123" spans="1:15" s="30" customFormat="1" ht="129.75" customHeight="1" outlineLevel="1" x14ac:dyDescent="0.2">
      <c r="A123" s="156">
        <v>80</v>
      </c>
      <c r="B123" s="146" t="s">
        <v>241</v>
      </c>
      <c r="C123" s="146" t="s">
        <v>209</v>
      </c>
      <c r="D123" s="134"/>
      <c r="E123" s="143" t="s">
        <v>379</v>
      </c>
      <c r="F123" s="143" t="s">
        <v>242</v>
      </c>
      <c r="G123" s="157" t="s">
        <v>3</v>
      </c>
      <c r="H123" s="58">
        <v>26127500</v>
      </c>
      <c r="I123" s="52">
        <v>26127500</v>
      </c>
      <c r="J123" s="150">
        <v>1E-4</v>
      </c>
      <c r="K123" s="52"/>
      <c r="L123" s="52">
        <f>4530</f>
        <v>4530</v>
      </c>
      <c r="M123" s="59">
        <f t="shared" si="6"/>
        <v>26127500</v>
      </c>
      <c r="N123" s="147" t="s">
        <v>243</v>
      </c>
      <c r="O123" s="31"/>
    </row>
    <row r="124" spans="1:15" s="30" customFormat="1" ht="129.75" customHeight="1" outlineLevel="1" x14ac:dyDescent="0.2">
      <c r="A124" s="156">
        <v>81</v>
      </c>
      <c r="B124" s="146" t="s">
        <v>244</v>
      </c>
      <c r="C124" s="146" t="s">
        <v>209</v>
      </c>
      <c r="D124" s="134"/>
      <c r="E124" s="143" t="s">
        <v>379</v>
      </c>
      <c r="F124" s="143" t="s">
        <v>245</v>
      </c>
      <c r="G124" s="157" t="s">
        <v>3</v>
      </c>
      <c r="H124" s="58">
        <v>19297200</v>
      </c>
      <c r="I124" s="52">
        <f>10800000+3440000+1440000+3617200</f>
        <v>19297200</v>
      </c>
      <c r="J124" s="150">
        <v>1E-4</v>
      </c>
      <c r="K124" s="52"/>
      <c r="L124" s="52">
        <f>3000</f>
        <v>3000</v>
      </c>
      <c r="M124" s="59">
        <f t="shared" si="6"/>
        <v>19297200</v>
      </c>
      <c r="N124" s="147" t="s">
        <v>246</v>
      </c>
      <c r="O124" s="31"/>
    </row>
    <row r="125" spans="1:15" s="30" customFormat="1" ht="129.75" customHeight="1" outlineLevel="1" x14ac:dyDescent="0.2">
      <c r="A125" s="156">
        <v>82</v>
      </c>
      <c r="B125" s="146" t="s">
        <v>247</v>
      </c>
      <c r="C125" s="146" t="s">
        <v>209</v>
      </c>
      <c r="D125" s="134"/>
      <c r="E125" s="143" t="s">
        <v>379</v>
      </c>
      <c r="F125" s="143" t="s">
        <v>232</v>
      </c>
      <c r="G125" s="157" t="s">
        <v>3</v>
      </c>
      <c r="H125" s="58">
        <v>2164000</v>
      </c>
      <c r="I125" s="52">
        <v>2164000</v>
      </c>
      <c r="J125" s="150">
        <v>1E-4</v>
      </c>
      <c r="K125" s="52">
        <f>166462</f>
        <v>166462</v>
      </c>
      <c r="L125" s="52">
        <f>370+54.8+100</f>
        <v>524.79999999999995</v>
      </c>
      <c r="M125" s="59">
        <f>I125-L125</f>
        <v>2163475.2000000002</v>
      </c>
      <c r="N125" s="147" t="s">
        <v>248</v>
      </c>
      <c r="O125" s="31"/>
    </row>
    <row r="126" spans="1:15" s="30" customFormat="1" ht="129.75" customHeight="1" outlineLevel="1" x14ac:dyDescent="0.2">
      <c r="A126" s="156">
        <v>83</v>
      </c>
      <c r="B126" s="146" t="s">
        <v>249</v>
      </c>
      <c r="C126" s="146" t="s">
        <v>209</v>
      </c>
      <c r="D126" s="146"/>
      <c r="E126" s="143" t="s">
        <v>379</v>
      </c>
      <c r="F126" s="143" t="s">
        <v>250</v>
      </c>
      <c r="G126" s="157" t="s">
        <v>3</v>
      </c>
      <c r="H126" s="58">
        <v>253504102</v>
      </c>
      <c r="I126" s="52">
        <v>253504102</v>
      </c>
      <c r="J126" s="150">
        <v>1E-4</v>
      </c>
      <c r="K126" s="52"/>
      <c r="L126" s="52">
        <f>5973+6390+6181+6389+6181.4+6390+6390+6390+6389</f>
        <v>56673.4</v>
      </c>
      <c r="M126" s="59">
        <f t="shared" ref="M126:M132" si="7">I126-K126</f>
        <v>253504102</v>
      </c>
      <c r="N126" s="147" t="s">
        <v>251</v>
      </c>
      <c r="O126" s="31"/>
    </row>
    <row r="127" spans="1:15" s="30" customFormat="1" ht="129.75" customHeight="1" outlineLevel="1" x14ac:dyDescent="0.2">
      <c r="A127" s="156">
        <v>84</v>
      </c>
      <c r="B127" s="146" t="s">
        <v>252</v>
      </c>
      <c r="C127" s="146" t="s">
        <v>209</v>
      </c>
      <c r="D127" s="134"/>
      <c r="E127" s="143" t="s">
        <v>379</v>
      </c>
      <c r="F127" s="143" t="s">
        <v>250</v>
      </c>
      <c r="G127" s="157" t="s">
        <v>3</v>
      </c>
      <c r="H127" s="58">
        <v>76200000</v>
      </c>
      <c r="I127" s="52">
        <v>76200000</v>
      </c>
      <c r="J127" s="150">
        <v>1E-4</v>
      </c>
      <c r="K127" s="52"/>
      <c r="L127" s="52">
        <v>7620</v>
      </c>
      <c r="M127" s="59">
        <f t="shared" si="7"/>
        <v>76200000</v>
      </c>
      <c r="N127" s="147" t="s">
        <v>253</v>
      </c>
      <c r="O127" s="31"/>
    </row>
    <row r="128" spans="1:15" s="30" customFormat="1" ht="121.5" outlineLevel="1" x14ac:dyDescent="0.2">
      <c r="A128" s="156">
        <v>85</v>
      </c>
      <c r="B128" s="146" t="s">
        <v>254</v>
      </c>
      <c r="C128" s="146" t="s">
        <v>209</v>
      </c>
      <c r="D128" s="134"/>
      <c r="E128" s="143" t="s">
        <v>379</v>
      </c>
      <c r="F128" s="143" t="s">
        <v>255</v>
      </c>
      <c r="G128" s="157" t="s">
        <v>3</v>
      </c>
      <c r="H128" s="58">
        <v>50613970</v>
      </c>
      <c r="I128" s="52">
        <v>50613970</v>
      </c>
      <c r="J128" s="150">
        <v>1E-4</v>
      </c>
      <c r="K128" s="52"/>
      <c r="L128" s="52">
        <f>8800+8800</f>
        <v>17600</v>
      </c>
      <c r="M128" s="59">
        <f t="shared" si="7"/>
        <v>50613970</v>
      </c>
      <c r="N128" s="147" t="s">
        <v>256</v>
      </c>
      <c r="O128" s="31"/>
    </row>
    <row r="129" spans="1:15" s="30" customFormat="1" ht="121.5" outlineLevel="1" x14ac:dyDescent="0.2">
      <c r="A129" s="156">
        <v>86</v>
      </c>
      <c r="B129" s="146" t="s">
        <v>257</v>
      </c>
      <c r="C129" s="146" t="s">
        <v>209</v>
      </c>
      <c r="D129" s="134"/>
      <c r="E129" s="143" t="s">
        <v>379</v>
      </c>
      <c r="F129" s="143" t="s">
        <v>258</v>
      </c>
      <c r="G129" s="157" t="s">
        <v>3</v>
      </c>
      <c r="H129" s="58">
        <v>184740000</v>
      </c>
      <c r="I129" s="52">
        <v>184740000</v>
      </c>
      <c r="J129" s="150">
        <v>1E-4</v>
      </c>
      <c r="K129" s="52"/>
      <c r="L129" s="52">
        <f>31700</f>
        <v>31700</v>
      </c>
      <c r="M129" s="59">
        <f t="shared" si="7"/>
        <v>184740000</v>
      </c>
      <c r="N129" s="147" t="s">
        <v>259</v>
      </c>
      <c r="O129" s="31"/>
    </row>
    <row r="130" spans="1:15" s="30" customFormat="1" ht="121.5" outlineLevel="1" x14ac:dyDescent="0.2">
      <c r="A130" s="156">
        <v>87</v>
      </c>
      <c r="B130" s="146" t="s">
        <v>260</v>
      </c>
      <c r="C130" s="146" t="s">
        <v>209</v>
      </c>
      <c r="D130" s="134"/>
      <c r="E130" s="143" t="s">
        <v>379</v>
      </c>
      <c r="F130" s="143" t="s">
        <v>261</v>
      </c>
      <c r="G130" s="157" t="s">
        <v>3</v>
      </c>
      <c r="H130" s="58">
        <v>219559596</v>
      </c>
      <c r="I130" s="52">
        <v>219559596</v>
      </c>
      <c r="J130" s="150">
        <v>1E-4</v>
      </c>
      <c r="K130" s="52">
        <f>16889200</f>
        <v>16889200</v>
      </c>
      <c r="L130" s="52">
        <f>5294+5294+27550+5533</f>
        <v>43671</v>
      </c>
      <c r="M130" s="59">
        <f t="shared" si="7"/>
        <v>202670396</v>
      </c>
      <c r="N130" s="147" t="s">
        <v>262</v>
      </c>
      <c r="O130" s="31"/>
    </row>
    <row r="131" spans="1:15" s="30" customFormat="1" ht="121.5" outlineLevel="1" x14ac:dyDescent="0.2">
      <c r="A131" s="156">
        <v>88</v>
      </c>
      <c r="B131" s="146" t="s">
        <v>263</v>
      </c>
      <c r="C131" s="146" t="s">
        <v>209</v>
      </c>
      <c r="D131" s="134"/>
      <c r="E131" s="143" t="s">
        <v>379</v>
      </c>
      <c r="F131" s="143" t="s">
        <v>258</v>
      </c>
      <c r="G131" s="157" t="s">
        <v>3</v>
      </c>
      <c r="H131" s="58">
        <v>29081500</v>
      </c>
      <c r="I131" s="52">
        <v>29081500</v>
      </c>
      <c r="J131" s="150">
        <v>1E-4</v>
      </c>
      <c r="K131" s="52"/>
      <c r="L131" s="52">
        <f>1000+4000+3000</f>
        <v>8000</v>
      </c>
      <c r="M131" s="59">
        <f t="shared" si="7"/>
        <v>29081500</v>
      </c>
      <c r="N131" s="147" t="s">
        <v>264</v>
      </c>
      <c r="O131" s="31"/>
    </row>
    <row r="132" spans="1:15" s="30" customFormat="1" ht="123" customHeight="1" outlineLevel="1" thickBot="1" x14ac:dyDescent="0.25">
      <c r="A132" s="266">
        <v>89</v>
      </c>
      <c r="B132" s="93" t="s">
        <v>265</v>
      </c>
      <c r="C132" s="93" t="s">
        <v>209</v>
      </c>
      <c r="D132" s="93"/>
      <c r="E132" s="93" t="s">
        <v>379</v>
      </c>
      <c r="F132" s="143" t="s">
        <v>266</v>
      </c>
      <c r="G132" s="157" t="s">
        <v>3</v>
      </c>
      <c r="H132" s="58">
        <v>12060940</v>
      </c>
      <c r="I132" s="99">
        <v>12060940</v>
      </c>
      <c r="J132" s="150">
        <v>1E-4</v>
      </c>
      <c r="K132" s="52"/>
      <c r="L132" s="52">
        <v>2170</v>
      </c>
      <c r="M132" s="59">
        <f t="shared" si="7"/>
        <v>12060940</v>
      </c>
      <c r="N132" s="147" t="s">
        <v>267</v>
      </c>
      <c r="O132" s="31"/>
    </row>
    <row r="133" spans="1:15" s="79" customFormat="1" ht="30" customHeight="1" x14ac:dyDescent="0.25">
      <c r="A133" s="239" t="s">
        <v>384</v>
      </c>
      <c r="B133" s="240"/>
      <c r="C133" s="240"/>
      <c r="D133" s="241" t="s">
        <v>35</v>
      </c>
      <c r="E133" s="242"/>
      <c r="F133" s="251"/>
      <c r="G133" s="100"/>
      <c r="H133" s="78">
        <f>SUMIF($G$112:$G$132,D133,$H$112:$H$132)</f>
        <v>0</v>
      </c>
      <c r="I133" s="86">
        <f>SUMIF($G$102:$G$132,D133,$I$102:$I$132)</f>
        <v>0</v>
      </c>
      <c r="J133" s="86"/>
      <c r="K133" s="86">
        <f>SUMIF($G$102:$G$132,D133,$K$102:$K$132)</f>
        <v>0</v>
      </c>
      <c r="L133" s="86">
        <f>SUMIF($G$102:$G$132,D133,$L$102:$L$132)</f>
        <v>0</v>
      </c>
      <c r="M133" s="86">
        <f>SUMIF($G$102:$G$132,D133,$M$102:$M$132)</f>
        <v>0</v>
      </c>
      <c r="N133" s="127"/>
      <c r="O133" s="28"/>
    </row>
    <row r="134" spans="1:15" s="79" customFormat="1" ht="27" customHeight="1" x14ac:dyDescent="0.25">
      <c r="A134" s="220"/>
      <c r="B134" s="221"/>
      <c r="C134" s="221"/>
      <c r="D134" s="244" t="s">
        <v>3</v>
      </c>
      <c r="E134" s="245"/>
      <c r="F134" s="246"/>
      <c r="G134" s="80"/>
      <c r="H134" s="81">
        <f>SUMIF($G$112:$G$132,D134,$H$112:$H$132)</f>
        <v>2011462986</v>
      </c>
      <c r="I134" s="81">
        <f>SUMIF($G$112:$G$132,D134,$I$112:$I$132)</f>
        <v>2011462986</v>
      </c>
      <c r="J134" s="81"/>
      <c r="K134" s="81">
        <f>SUMIF($G$112:$G$132,D134,$K$112:$K$132)</f>
        <v>33918127.5</v>
      </c>
      <c r="L134" s="81">
        <f>SUMIF($G$112:$G$132,D134,$L$112:$L$132)</f>
        <v>391781.4</v>
      </c>
      <c r="M134" s="81">
        <f>SUMIF($G$112:$G$132,D134,$M$112:$M$132)</f>
        <v>1977710795.7</v>
      </c>
      <c r="N134" s="128"/>
      <c r="O134" s="28"/>
    </row>
    <row r="135" spans="1:15" s="79" customFormat="1" ht="28.5" customHeight="1" x14ac:dyDescent="0.25">
      <c r="A135" s="220"/>
      <c r="B135" s="221"/>
      <c r="C135" s="221"/>
      <c r="D135" s="244" t="s">
        <v>57</v>
      </c>
      <c r="E135" s="245"/>
      <c r="F135" s="246"/>
      <c r="G135" s="80"/>
      <c r="H135" s="81">
        <f>SUMIF($G$112:$G$132,D135,$H$112:$H$132)</f>
        <v>0</v>
      </c>
      <c r="I135" s="81">
        <f>SUMIF($G$102:$G$132,D135,$I$102:$I$132)</f>
        <v>0</v>
      </c>
      <c r="J135" s="81"/>
      <c r="K135" s="81">
        <f>SUMIF($G$102:$G$132,D135,$K$102:$K$132)</f>
        <v>0</v>
      </c>
      <c r="L135" s="81">
        <f>SUMIF($G$102:$G$132,D135,$L$102:$L$132)</f>
        <v>0</v>
      </c>
      <c r="M135" s="81">
        <f>SUMIF($G$102:$G$132,D135,$M$102:$M$132)</f>
        <v>0</v>
      </c>
      <c r="N135" s="128"/>
      <c r="O135" s="28"/>
    </row>
    <row r="136" spans="1:15" s="79" customFormat="1" ht="30" customHeight="1" thickBot="1" x14ac:dyDescent="0.3">
      <c r="A136" s="249"/>
      <c r="B136" s="250"/>
      <c r="C136" s="250"/>
      <c r="D136" s="225" t="s">
        <v>77</v>
      </c>
      <c r="E136" s="226"/>
      <c r="F136" s="227"/>
      <c r="G136" s="84"/>
      <c r="H136" s="85">
        <f>SUMIF($G$112:$G$132,D136,$H$112:$H$132)</f>
        <v>0</v>
      </c>
      <c r="I136" s="85">
        <f>SUMIF($G$102:$G$132,D136,$I$102:$I$132)</f>
        <v>0</v>
      </c>
      <c r="J136" s="85"/>
      <c r="K136" s="85">
        <f>SUMIF($G$102:$G$132,D136,$K$102:$K$132)</f>
        <v>0</v>
      </c>
      <c r="L136" s="85">
        <f>SUMIF($G$102:$G$132,D136,$L$102:$L$132)</f>
        <v>0</v>
      </c>
      <c r="M136" s="85">
        <f>SUMIF($G$102:$G$132,D136,$M$102:$M$132)</f>
        <v>0</v>
      </c>
      <c r="N136" s="130"/>
      <c r="O136" s="28"/>
    </row>
    <row r="137" spans="1:15" s="79" customFormat="1" ht="15.75" customHeight="1" x14ac:dyDescent="0.25">
      <c r="A137" s="218" t="s">
        <v>268</v>
      </c>
      <c r="B137" s="219"/>
      <c r="C137" s="252"/>
      <c r="D137" s="243" t="s">
        <v>35</v>
      </c>
      <c r="E137" s="255"/>
      <c r="F137" s="255"/>
      <c r="G137" s="101"/>
      <c r="H137" s="98">
        <f t="shared" ref="H137:M140" si="8">H47+H58+H69+H98+H108+H133</f>
        <v>324955301.96000004</v>
      </c>
      <c r="I137" s="98">
        <f t="shared" si="8"/>
        <v>125093571</v>
      </c>
      <c r="J137" s="98">
        <f t="shared" si="8"/>
        <v>0</v>
      </c>
      <c r="K137" s="98">
        <f t="shared" si="8"/>
        <v>43216556.301633</v>
      </c>
      <c r="L137" s="98">
        <f t="shared" si="8"/>
        <v>16226699.411359526</v>
      </c>
      <c r="M137" s="98">
        <f t="shared" si="8"/>
        <v>81877014.698367</v>
      </c>
      <c r="N137" s="132"/>
      <c r="O137" s="28"/>
    </row>
    <row r="138" spans="1:15" s="79" customFormat="1" ht="17.25" customHeight="1" x14ac:dyDescent="0.25">
      <c r="A138" s="220"/>
      <c r="B138" s="221"/>
      <c r="C138" s="253"/>
      <c r="D138" s="246" t="s">
        <v>3</v>
      </c>
      <c r="E138" s="223"/>
      <c r="F138" s="223"/>
      <c r="G138" s="101"/>
      <c r="H138" s="98">
        <f t="shared" si="8"/>
        <v>174882887740.10001</v>
      </c>
      <c r="I138" s="98">
        <f t="shared" si="8"/>
        <v>193454996789.51001</v>
      </c>
      <c r="J138" s="98">
        <f t="shared" si="8"/>
        <v>0</v>
      </c>
      <c r="K138" s="98">
        <f t="shared" si="8"/>
        <v>85624506000.538712</v>
      </c>
      <c r="L138" s="98">
        <f t="shared" si="8"/>
        <v>42431448085.257797</v>
      </c>
      <c r="M138" s="98">
        <f t="shared" si="8"/>
        <v>107830656726.17128</v>
      </c>
      <c r="N138" s="128"/>
      <c r="O138" s="28"/>
    </row>
    <row r="139" spans="1:15" s="79" customFormat="1" ht="15" customHeight="1" x14ac:dyDescent="0.25">
      <c r="A139" s="220"/>
      <c r="B139" s="221"/>
      <c r="C139" s="253"/>
      <c r="D139" s="246" t="s">
        <v>57</v>
      </c>
      <c r="E139" s="223"/>
      <c r="F139" s="223"/>
      <c r="G139" s="80"/>
      <c r="H139" s="98">
        <f t="shared" si="8"/>
        <v>481140620.32000005</v>
      </c>
      <c r="I139" s="98">
        <f t="shared" si="8"/>
        <v>356525007.62</v>
      </c>
      <c r="J139" s="98">
        <f t="shared" si="8"/>
        <v>0</v>
      </c>
      <c r="K139" s="98">
        <f t="shared" si="8"/>
        <v>85657437.758320183</v>
      </c>
      <c r="L139" s="98">
        <f t="shared" si="8"/>
        <v>50918195.279434845</v>
      </c>
      <c r="M139" s="98">
        <f t="shared" si="8"/>
        <v>271317957.74167979</v>
      </c>
      <c r="N139" s="128"/>
      <c r="O139" s="28"/>
    </row>
    <row r="140" spans="1:15" s="79" customFormat="1" ht="25.5" customHeight="1" x14ac:dyDescent="0.25">
      <c r="A140" s="249"/>
      <c r="B140" s="250"/>
      <c r="C140" s="254"/>
      <c r="D140" s="256" t="s">
        <v>77</v>
      </c>
      <c r="E140" s="224"/>
      <c r="F140" s="224"/>
      <c r="G140" s="82"/>
      <c r="H140" s="98">
        <f t="shared" si="8"/>
        <v>31777311969</v>
      </c>
      <c r="I140" s="98">
        <f t="shared" si="8"/>
        <v>31859249643</v>
      </c>
      <c r="J140" s="98">
        <f t="shared" si="8"/>
        <v>0</v>
      </c>
      <c r="K140" s="98">
        <f t="shared" si="8"/>
        <v>10468472425.228352</v>
      </c>
      <c r="L140" s="98">
        <f t="shared" si="8"/>
        <v>3314986633.2419791</v>
      </c>
      <c r="M140" s="98">
        <f t="shared" si="8"/>
        <v>21390777217.771648</v>
      </c>
      <c r="N140" s="129"/>
      <c r="O140" s="28"/>
    </row>
    <row r="141" spans="1:15" s="79" customFormat="1" ht="15" customHeight="1" thickBot="1" x14ac:dyDescent="0.3">
      <c r="A141" s="249"/>
      <c r="B141" s="250"/>
      <c r="C141" s="254"/>
      <c r="D141" s="248" t="s">
        <v>67</v>
      </c>
      <c r="E141" s="245"/>
      <c r="F141" s="246"/>
      <c r="G141" s="82"/>
      <c r="H141" s="98">
        <f>H51</f>
        <v>24086688</v>
      </c>
      <c r="I141" s="98">
        <f t="shared" ref="I141:M141" si="9">I51</f>
        <v>18496922.612149809</v>
      </c>
      <c r="J141" s="98">
        <f t="shared" si="9"/>
        <v>0</v>
      </c>
      <c r="K141" s="98">
        <f t="shared" si="9"/>
        <v>2951863.7028913228</v>
      </c>
      <c r="L141" s="98">
        <f t="shared" si="9"/>
        <v>2210496.0583513039</v>
      </c>
      <c r="M141" s="98">
        <f t="shared" si="9"/>
        <v>15545058.909258485</v>
      </c>
      <c r="N141" s="129"/>
      <c r="O141" s="28"/>
    </row>
    <row r="142" spans="1:15" ht="51" customHeight="1" thickBot="1" x14ac:dyDescent="0.3">
      <c r="A142" s="102">
        <v>94</v>
      </c>
      <c r="B142" s="103" t="s">
        <v>269</v>
      </c>
      <c r="C142" s="104" t="s">
        <v>270</v>
      </c>
      <c r="D142" s="104" t="s">
        <v>119</v>
      </c>
      <c r="E142" s="104" t="s">
        <v>380</v>
      </c>
      <c r="F142" s="104" t="s">
        <v>271</v>
      </c>
      <c r="G142" s="104" t="s">
        <v>3</v>
      </c>
      <c r="H142" s="105">
        <f>834800635300+144000000000</f>
        <v>978800635300</v>
      </c>
      <c r="I142" s="106">
        <f>834798635300+12095027500+14732486250+11774486250+13492000000+25492000000+15482000000+12375860000+12000000000+13000000000+12000000000+15700000000+17856140000</f>
        <v>1010798635300</v>
      </c>
      <c r="J142" s="107">
        <v>1.0000000000000001E-5</v>
      </c>
      <c r="K142" s="106"/>
      <c r="L142" s="106"/>
      <c r="M142" s="108">
        <f>I142-K142</f>
        <v>1010798635300</v>
      </c>
      <c r="N142" s="133" t="s">
        <v>82</v>
      </c>
    </row>
    <row r="143" spans="1:15" s="79" customFormat="1" ht="15" customHeight="1" x14ac:dyDescent="0.25">
      <c r="A143" s="109"/>
      <c r="B143" s="109"/>
      <c r="C143" s="109"/>
      <c r="D143" s="110"/>
      <c r="E143" s="110"/>
      <c r="F143" s="110"/>
      <c r="G143" s="111"/>
      <c r="H143" s="112"/>
      <c r="I143" s="112"/>
      <c r="J143" s="112"/>
      <c r="K143" s="112"/>
      <c r="L143" s="112"/>
      <c r="M143" s="112"/>
      <c r="N143" s="112"/>
      <c r="O143" s="28"/>
    </row>
    <row r="144" spans="1:15" ht="17.25" x14ac:dyDescent="0.3">
      <c r="B144" s="60" t="s">
        <v>3</v>
      </c>
      <c r="C144" s="61"/>
      <c r="G144" s="114"/>
      <c r="H144" s="115"/>
      <c r="I144" s="115"/>
      <c r="M144" s="117"/>
      <c r="N144" s="119"/>
    </row>
    <row r="145" spans="2:15" ht="17.25" x14ac:dyDescent="0.3">
      <c r="B145" s="60" t="s">
        <v>57</v>
      </c>
      <c r="C145" s="61">
        <v>393.41</v>
      </c>
      <c r="H145" s="115"/>
      <c r="I145" s="118"/>
      <c r="J145" s="120"/>
      <c r="L145" s="115"/>
      <c r="M145" s="121"/>
      <c r="N145" s="122"/>
    </row>
    <row r="146" spans="2:15" ht="17.25" x14ac:dyDescent="0.3">
      <c r="B146" s="60" t="s">
        <v>77</v>
      </c>
      <c r="C146" s="62">
        <v>2.9409999999999998</v>
      </c>
      <c r="I146" s="118"/>
      <c r="L146" s="115"/>
      <c r="M146" s="123"/>
      <c r="N146" s="124"/>
    </row>
    <row r="147" spans="2:15" ht="17.25" x14ac:dyDescent="0.3">
      <c r="B147" s="60" t="s">
        <v>35</v>
      </c>
      <c r="C147" s="61">
        <v>418.43</v>
      </c>
      <c r="I147" s="118"/>
      <c r="L147" s="115"/>
      <c r="M147" s="118"/>
      <c r="N147" s="124"/>
    </row>
    <row r="148" spans="2:15" ht="17.25" x14ac:dyDescent="0.3">
      <c r="B148" s="60" t="s">
        <v>67</v>
      </c>
      <c r="C148" s="61">
        <v>523.57000000000005</v>
      </c>
      <c r="L148" s="119"/>
      <c r="M148" s="115"/>
      <c r="N148" s="24"/>
    </row>
    <row r="149" spans="2:15" x14ac:dyDescent="0.25">
      <c r="N149" s="24"/>
    </row>
    <row r="150" spans="2:15" x14ac:dyDescent="0.25">
      <c r="M150" s="123"/>
    </row>
    <row r="151" spans="2:15" x14ac:dyDescent="0.25">
      <c r="I151" s="123"/>
      <c r="M151" s="123"/>
    </row>
    <row r="158" spans="2:15" s="118" customFormat="1" x14ac:dyDescent="0.25">
      <c r="B158" s="63"/>
      <c r="C158" s="25"/>
      <c r="D158" s="25"/>
      <c r="E158" s="113"/>
      <c r="F158" s="25"/>
      <c r="G158" s="25"/>
      <c r="H158" s="25"/>
      <c r="I158" s="25"/>
      <c r="J158" s="116"/>
      <c r="K158" s="25"/>
      <c r="L158" s="25"/>
      <c r="M158" s="115"/>
      <c r="N158" s="25"/>
      <c r="O158" s="24"/>
    </row>
  </sheetData>
  <sheetProtection formatCells="0" formatColumns="0" formatRows="0" insertColumns="0" insertRows="0" insertHyperlinks="0" deleteColumns="0" deleteRows="0" sort="0" autoFilter="0" pivotTables="0"/>
  <protectedRanges>
    <protectedRange algorithmName="SHA-512" hashValue="ebYJlpZ5U1B7nEADX3tPJoB0hHi6F2FGZO3AgIwkZhn5aPmyFKl8thzx5KIkcvDHbowVCaZT4wzIPC6UOKTl5w==" saltValue="3G1k9e5/Dvmj4okvbfpeHw==" spinCount="100000" sqref="N80:N83 E74:H77 E85:H91 N85:N91 I85:M91 I74:N77 A65:N68 A85:D91 A74:D77 A80:M83" name="Maria"/>
    <protectedRange algorithmName="SHA-512" hashValue="R0m7mG/o0t2+7dbQTzM5iQkFX2amgAS+iAGJudQnnweh07e6LDAbSuhvcwbzcp7drP+HIG4d/wHfMCXiBXmkow==" saltValue="hXh6Ce3lteSj/cvmR3BSBw==" spinCount="100000" sqref="N142 E112:L132 E142:L142 N112:N132 A142:D142 A112:D132" name="Narine"/>
    <protectedRange algorithmName="SHA-512" hashValue="/qDn2zoAPl6XveVGTDHZcWIjR6P6fmKMYiOIx92BVGuoQ3TYOXlsDsoiDSLs1D9Ugjb3A3EixLJ11cGk8PSHvw==" saltValue="LV/JN9wntl8CkZ3QpoEkqA==" spinCount="100000" sqref="N96:N97 N62:N63 A96:L97 A62:L63" name="Nara"/>
    <protectedRange algorithmName="SHA-512" hashValue="2hnhy85Hze6pXZTujHMyiGA7lE9yapdzAMEgpTAQUbEvX5wkbgVJAYj8efzABUddHb+HHBXm+QO7FFQ7DdcL0Q==" saltValue="/3Se5MhqYIbXZuII16lL6A==" spinCount="100000" sqref="E102:N107 A73:N73 A102:D107" name="Range4"/>
  </protectedRanges>
  <mergeCells count="155">
    <mergeCell ref="D141:F141"/>
    <mergeCell ref="A133:C136"/>
    <mergeCell ref="D133:F133"/>
    <mergeCell ref="D134:F134"/>
    <mergeCell ref="D135:F135"/>
    <mergeCell ref="D136:F136"/>
    <mergeCell ref="A137:C141"/>
    <mergeCell ref="D137:F137"/>
    <mergeCell ref="D138:F138"/>
    <mergeCell ref="D139:F139"/>
    <mergeCell ref="D140:F140"/>
    <mergeCell ref="A108:C111"/>
    <mergeCell ref="D108:F108"/>
    <mergeCell ref="D109:F109"/>
    <mergeCell ref="D110:F110"/>
    <mergeCell ref="D111:F111"/>
    <mergeCell ref="A98:C101"/>
    <mergeCell ref="D98:F98"/>
    <mergeCell ref="D99:F99"/>
    <mergeCell ref="D100:F100"/>
    <mergeCell ref="D101:F101"/>
    <mergeCell ref="B105:B107"/>
    <mergeCell ref="C105:C107"/>
    <mergeCell ref="N87:N88"/>
    <mergeCell ref="A93:A94"/>
    <mergeCell ref="B93:B94"/>
    <mergeCell ref="C93:C94"/>
    <mergeCell ref="D93:D94"/>
    <mergeCell ref="E93:E94"/>
    <mergeCell ref="F93:F94"/>
    <mergeCell ref="N93:N94"/>
    <mergeCell ref="A76:A77"/>
    <mergeCell ref="B76:B77"/>
    <mergeCell ref="C76:C77"/>
    <mergeCell ref="F76:F77"/>
    <mergeCell ref="N81:N83"/>
    <mergeCell ref="A87:A88"/>
    <mergeCell ref="B87:B88"/>
    <mergeCell ref="C87:C88"/>
    <mergeCell ref="D87:D88"/>
    <mergeCell ref="E87:E88"/>
    <mergeCell ref="A58:C61"/>
    <mergeCell ref="D58:F58"/>
    <mergeCell ref="D59:F59"/>
    <mergeCell ref="D60:F60"/>
    <mergeCell ref="D61:F61"/>
    <mergeCell ref="A69:C72"/>
    <mergeCell ref="D69:F69"/>
    <mergeCell ref="D70:F70"/>
    <mergeCell ref="D71:F71"/>
    <mergeCell ref="D72:F72"/>
    <mergeCell ref="B53:B54"/>
    <mergeCell ref="N53:N54"/>
    <mergeCell ref="A56:A57"/>
    <mergeCell ref="B56:B57"/>
    <mergeCell ref="C56:C57"/>
    <mergeCell ref="N56:N57"/>
    <mergeCell ref="N43:N44"/>
    <mergeCell ref="J45:J46"/>
    <mergeCell ref="A47:C51"/>
    <mergeCell ref="D47:F47"/>
    <mergeCell ref="D48:F48"/>
    <mergeCell ref="D49:F49"/>
    <mergeCell ref="D50:F50"/>
    <mergeCell ref="D51:F51"/>
    <mergeCell ref="A43:A44"/>
    <mergeCell ref="B43:B44"/>
    <mergeCell ref="C43:C44"/>
    <mergeCell ref="E43:E44"/>
    <mergeCell ref="F43:F44"/>
    <mergeCell ref="J43:J44"/>
    <mergeCell ref="A34:A36"/>
    <mergeCell ref="B34:B36"/>
    <mergeCell ref="C34:C36"/>
    <mergeCell ref="D34:D36"/>
    <mergeCell ref="E34:E36"/>
    <mergeCell ref="E31:E32"/>
    <mergeCell ref="F31:F32"/>
    <mergeCell ref="A31:A32"/>
    <mergeCell ref="B31:B32"/>
    <mergeCell ref="C31:C32"/>
    <mergeCell ref="D31:D32"/>
    <mergeCell ref="C29:C30"/>
    <mergeCell ref="D29:D30"/>
    <mergeCell ref="C27:C28"/>
    <mergeCell ref="D27:D28"/>
    <mergeCell ref="J23:J24"/>
    <mergeCell ref="N23:N24"/>
    <mergeCell ref="A25:A26"/>
    <mergeCell ref="B25:B26"/>
    <mergeCell ref="E25:E26"/>
    <mergeCell ref="F25:F26"/>
    <mergeCell ref="J25:J26"/>
    <mergeCell ref="N25:N26"/>
    <mergeCell ref="E23:E24"/>
    <mergeCell ref="F23:F24"/>
    <mergeCell ref="A23:A24"/>
    <mergeCell ref="B23:B24"/>
    <mergeCell ref="C23:C26"/>
    <mergeCell ref="D23:D26"/>
    <mergeCell ref="N17:N18"/>
    <mergeCell ref="A19:A20"/>
    <mergeCell ref="B19:B20"/>
    <mergeCell ref="C19:C22"/>
    <mergeCell ref="D19:D22"/>
    <mergeCell ref="A17:A18"/>
    <mergeCell ref="B17:B18"/>
    <mergeCell ref="C17:C18"/>
    <mergeCell ref="D17:D18"/>
    <mergeCell ref="E17:E18"/>
    <mergeCell ref="F17:F18"/>
    <mergeCell ref="A21:A22"/>
    <mergeCell ref="B21:B22"/>
    <mergeCell ref="E21:E22"/>
    <mergeCell ref="F21:F22"/>
    <mergeCell ref="N21:N22"/>
    <mergeCell ref="E19:E20"/>
    <mergeCell ref="F19:F20"/>
    <mergeCell ref="J19:J22"/>
    <mergeCell ref="N19:N20"/>
    <mergeCell ref="E15:E16"/>
    <mergeCell ref="F15:F16"/>
    <mergeCell ref="J15:J16"/>
    <mergeCell ref="N15:N16"/>
    <mergeCell ref="N13:N14"/>
    <mergeCell ref="A15:A16"/>
    <mergeCell ref="B15:B16"/>
    <mergeCell ref="C15:C16"/>
    <mergeCell ref="D15:D16"/>
    <mergeCell ref="A13:A14"/>
    <mergeCell ref="B13:B14"/>
    <mergeCell ref="C13:C14"/>
    <mergeCell ref="E13:E14"/>
    <mergeCell ref="F13:F14"/>
    <mergeCell ref="J13:J14"/>
    <mergeCell ref="A1:N1"/>
    <mergeCell ref="A2:N2"/>
    <mergeCell ref="A5:A6"/>
    <mergeCell ref="B5:B6"/>
    <mergeCell ref="D5:D6"/>
    <mergeCell ref="E5:E6"/>
    <mergeCell ref="N9:N10"/>
    <mergeCell ref="A11:A12"/>
    <mergeCell ref="B11:B12"/>
    <mergeCell ref="C11:C12"/>
    <mergeCell ref="E11:E12"/>
    <mergeCell ref="F11:F12"/>
    <mergeCell ref="J11:J12"/>
    <mergeCell ref="N11:N12"/>
    <mergeCell ref="A9:A10"/>
    <mergeCell ref="B9:B10"/>
    <mergeCell ref="C9:C10"/>
    <mergeCell ref="E9:E10"/>
    <mergeCell ref="F9:F10"/>
    <mergeCell ref="J9:J10"/>
  </mergeCells>
  <conditionalFormatting sqref="I5">
    <cfRule type="cellIs" dxfId="4" priority="5" operator="notEqual">
      <formula>#REF!</formula>
    </cfRule>
  </conditionalFormatting>
  <conditionalFormatting sqref="I95 I6:I33 I35:I41 I43:I45">
    <cfRule type="cellIs" dxfId="3" priority="4" operator="notEqual">
      <formula>#REF!</formula>
    </cfRule>
  </conditionalFormatting>
  <conditionalFormatting sqref="H21">
    <cfRule type="cellIs" dxfId="2" priority="3" operator="notEqual">
      <formula>#REF!</formula>
    </cfRule>
  </conditionalFormatting>
  <conditionalFormatting sqref="I46">
    <cfRule type="cellIs" dxfId="1" priority="2" operator="notEqual">
      <formula>#REF!</formula>
    </cfRule>
  </conditionalFormatting>
  <conditionalFormatting sqref="I79">
    <cfRule type="cellIs" dxfId="0" priority="1" operator="notEqual">
      <formula>#REF!</formula>
    </cfRule>
  </conditionalFormatting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D5" sqref="D5:E5"/>
    </sheetView>
  </sheetViews>
  <sheetFormatPr defaultColWidth="25.85546875" defaultRowHeight="15.75" x14ac:dyDescent="0.25"/>
  <cols>
    <col min="1" max="1" width="33.42578125" style="12" customWidth="1"/>
    <col min="2" max="2" width="32.28515625" style="12" customWidth="1"/>
    <col min="3" max="3" width="35.85546875" style="12" customWidth="1"/>
    <col min="4" max="4" width="32.42578125" style="12" customWidth="1"/>
    <col min="5" max="5" width="28.85546875" style="12" customWidth="1"/>
    <col min="6" max="6" width="33.5703125" style="12" customWidth="1"/>
    <col min="7" max="7" width="44.7109375" style="12" customWidth="1"/>
    <col min="8" max="16384" width="25.85546875" style="12"/>
  </cols>
  <sheetData>
    <row r="1" spans="1:5" ht="18.75" x14ac:dyDescent="0.25">
      <c r="A1" s="257" t="s">
        <v>278</v>
      </c>
      <c r="B1" s="257"/>
      <c r="C1" s="257"/>
      <c r="D1" s="257"/>
      <c r="E1" s="257"/>
    </row>
    <row r="2" spans="1:5" ht="61.5" customHeight="1" x14ac:dyDescent="0.25">
      <c r="A2" s="257" t="s">
        <v>454</v>
      </c>
      <c r="B2" s="257"/>
      <c r="C2" s="257"/>
      <c r="D2" s="257"/>
      <c r="E2" s="257"/>
    </row>
    <row r="5" spans="1:5" ht="60.75" x14ac:dyDescent="0.25">
      <c r="A5" s="15" t="s">
        <v>279</v>
      </c>
      <c r="B5" s="15" t="s">
        <v>280</v>
      </c>
      <c r="C5" s="15" t="s">
        <v>281</v>
      </c>
      <c r="D5" s="15" t="s">
        <v>282</v>
      </c>
      <c r="E5" s="15" t="s">
        <v>300</v>
      </c>
    </row>
    <row r="6" spans="1:5" ht="60.75" x14ac:dyDescent="0.25">
      <c r="A6" s="15" t="s">
        <v>393</v>
      </c>
      <c r="B6" s="15" t="s">
        <v>284</v>
      </c>
      <c r="C6" s="15" t="s">
        <v>285</v>
      </c>
      <c r="D6" s="17">
        <v>2000000000</v>
      </c>
      <c r="E6" s="17">
        <f t="shared" ref="E6:E14" si="0">D6</f>
        <v>2000000000</v>
      </c>
    </row>
    <row r="7" spans="1:5" ht="40.5" x14ac:dyDescent="0.25">
      <c r="A7" s="15" t="s">
        <v>411</v>
      </c>
      <c r="B7" s="15" t="s">
        <v>283</v>
      </c>
      <c r="C7" s="15" t="s">
        <v>287</v>
      </c>
      <c r="D7" s="17">
        <v>825000000</v>
      </c>
      <c r="E7" s="17">
        <v>687500000</v>
      </c>
    </row>
    <row r="8" spans="1:5" ht="40.5" x14ac:dyDescent="0.25">
      <c r="A8" s="15" t="s">
        <v>459</v>
      </c>
      <c r="B8" s="15" t="s">
        <v>283</v>
      </c>
      <c r="C8" s="15" t="s">
        <v>288</v>
      </c>
      <c r="D8" s="17">
        <v>265000000</v>
      </c>
      <c r="E8" s="17">
        <v>242916666.30000001</v>
      </c>
    </row>
    <row r="9" spans="1:5" ht="101.25" x14ac:dyDescent="0.25">
      <c r="A9" s="15" t="s">
        <v>294</v>
      </c>
      <c r="B9" s="15" t="s">
        <v>295</v>
      </c>
      <c r="C9" s="15" t="s">
        <v>296</v>
      </c>
      <c r="D9" s="16">
        <v>103500000</v>
      </c>
      <c r="E9" s="17">
        <v>91989000</v>
      </c>
    </row>
    <row r="10" spans="1:5" ht="101.25" x14ac:dyDescent="0.25">
      <c r="A10" s="15" t="s">
        <v>427</v>
      </c>
      <c r="B10" s="15" t="s">
        <v>295</v>
      </c>
      <c r="C10" s="15" t="s">
        <v>297</v>
      </c>
      <c r="D10" s="16">
        <v>100000000</v>
      </c>
      <c r="E10" s="17">
        <v>88888888</v>
      </c>
    </row>
    <row r="11" spans="1:5" ht="101.25" x14ac:dyDescent="0.25">
      <c r="A11" s="164" t="s">
        <v>457</v>
      </c>
      <c r="B11" s="15" t="s">
        <v>295</v>
      </c>
      <c r="C11" s="15" t="s">
        <v>298</v>
      </c>
      <c r="D11" s="16">
        <v>253500000</v>
      </c>
      <c r="E11" s="17">
        <v>225333333</v>
      </c>
    </row>
    <row r="12" spans="1:5" ht="40.5" x14ac:dyDescent="0.25">
      <c r="A12" s="164" t="s">
        <v>457</v>
      </c>
      <c r="B12" s="15" t="s">
        <v>283</v>
      </c>
      <c r="C12" s="15" t="s">
        <v>298</v>
      </c>
      <c r="D12" s="16">
        <v>430182000</v>
      </c>
      <c r="E12" s="17">
        <v>394333441</v>
      </c>
    </row>
    <row r="13" spans="1:5" ht="60.75" x14ac:dyDescent="0.25">
      <c r="A13" s="15" t="s">
        <v>418</v>
      </c>
      <c r="B13" s="15" t="s">
        <v>283</v>
      </c>
      <c r="C13" s="15" t="s">
        <v>299</v>
      </c>
      <c r="D13" s="16">
        <v>127200000</v>
      </c>
      <c r="E13" s="17">
        <v>127200000</v>
      </c>
    </row>
    <row r="14" spans="1:5" ht="60.75" x14ac:dyDescent="0.25">
      <c r="A14" s="18" t="s">
        <v>382</v>
      </c>
      <c r="B14" s="15" t="s">
        <v>381</v>
      </c>
      <c r="C14" s="15" t="s">
        <v>383</v>
      </c>
      <c r="D14" s="16">
        <v>500000000</v>
      </c>
      <c r="E14" s="17">
        <f t="shared" si="0"/>
        <v>500000000</v>
      </c>
    </row>
    <row r="15" spans="1:5" ht="60.75" x14ac:dyDescent="0.25">
      <c r="A15" s="18" t="s">
        <v>385</v>
      </c>
      <c r="B15" s="15" t="s">
        <v>283</v>
      </c>
      <c r="C15" s="15" t="s">
        <v>387</v>
      </c>
      <c r="D15" s="16">
        <v>234990000</v>
      </c>
      <c r="E15" s="16">
        <v>234990000</v>
      </c>
    </row>
    <row r="16" spans="1:5" ht="40.5" x14ac:dyDescent="0.25">
      <c r="A16" s="19" t="s">
        <v>396</v>
      </c>
      <c r="B16" s="20" t="s">
        <v>386</v>
      </c>
      <c r="C16" s="15" t="s">
        <v>388</v>
      </c>
      <c r="D16" s="16">
        <v>450000000</v>
      </c>
      <c r="E16" s="16">
        <v>450000000</v>
      </c>
    </row>
    <row r="17" spans="1:9" ht="60.75" x14ac:dyDescent="0.25">
      <c r="A17" s="19" t="s">
        <v>393</v>
      </c>
      <c r="B17" s="15" t="s">
        <v>381</v>
      </c>
      <c r="C17" s="15" t="s">
        <v>399</v>
      </c>
      <c r="D17" s="16">
        <v>1248200000</v>
      </c>
      <c r="E17" s="16">
        <v>1248200000</v>
      </c>
    </row>
    <row r="18" spans="1:9" ht="40.5" x14ac:dyDescent="0.25">
      <c r="A18" s="19" t="s">
        <v>394</v>
      </c>
      <c r="B18" s="15" t="s">
        <v>283</v>
      </c>
      <c r="C18" s="15" t="s">
        <v>400</v>
      </c>
      <c r="D18" s="16">
        <v>139373675</v>
      </c>
      <c r="E18" s="16">
        <v>139373675</v>
      </c>
    </row>
    <row r="19" spans="1:9" ht="20.25" x14ac:dyDescent="0.25">
      <c r="A19" s="19" t="s">
        <v>395</v>
      </c>
      <c r="B19" s="15" t="s">
        <v>397</v>
      </c>
      <c r="C19" s="15" t="s">
        <v>399</v>
      </c>
      <c r="D19" s="16">
        <v>900000000</v>
      </c>
      <c r="E19" s="16">
        <v>900000000</v>
      </c>
    </row>
    <row r="20" spans="1:9" ht="40.5" x14ac:dyDescent="0.25">
      <c r="A20" s="19" t="s">
        <v>396</v>
      </c>
      <c r="B20" s="15" t="s">
        <v>398</v>
      </c>
      <c r="C20" s="15" t="s">
        <v>401</v>
      </c>
      <c r="D20" s="16">
        <v>250000000</v>
      </c>
      <c r="E20" s="16">
        <v>250000000</v>
      </c>
    </row>
    <row r="21" spans="1:9" ht="60.75" x14ac:dyDescent="0.25">
      <c r="A21" s="15" t="s">
        <v>418</v>
      </c>
      <c r="B21" s="15" t="s">
        <v>283</v>
      </c>
      <c r="C21" s="15" t="s">
        <v>455</v>
      </c>
      <c r="D21" s="16">
        <v>218138000</v>
      </c>
      <c r="E21" s="16">
        <v>218138000</v>
      </c>
    </row>
    <row r="22" spans="1:9" ht="40.5" x14ac:dyDescent="0.25">
      <c r="A22" s="15" t="s">
        <v>411</v>
      </c>
      <c r="B22" s="15" t="s">
        <v>283</v>
      </c>
      <c r="C22" s="15" t="s">
        <v>456</v>
      </c>
      <c r="D22" s="16">
        <v>692955973</v>
      </c>
      <c r="E22" s="16">
        <v>692955973</v>
      </c>
    </row>
    <row r="23" spans="1:9" ht="40.5" x14ac:dyDescent="0.25">
      <c r="A23" s="19" t="s">
        <v>457</v>
      </c>
      <c r="B23" s="15" t="s">
        <v>283</v>
      </c>
      <c r="C23" s="15" t="s">
        <v>458</v>
      </c>
      <c r="D23" s="16">
        <v>674283500</v>
      </c>
      <c r="E23" s="16">
        <v>674283500</v>
      </c>
    </row>
    <row r="24" spans="1:9" ht="33" customHeight="1" x14ac:dyDescent="0.25">
      <c r="A24" s="21" t="s">
        <v>286</v>
      </c>
      <c r="B24" s="21"/>
      <c r="C24" s="21"/>
      <c r="D24" s="22">
        <f>SUM(D6:D23)</f>
        <v>9412323148</v>
      </c>
      <c r="E24" s="22">
        <f>SUM(E6:E23)</f>
        <v>9166102476.2999992</v>
      </c>
    </row>
    <row r="27" spans="1:9" x14ac:dyDescent="0.25">
      <c r="A27" s="13"/>
      <c r="B27" s="13"/>
      <c r="C27" s="13"/>
      <c r="D27" s="13"/>
      <c r="E27" s="13"/>
      <c r="F27" s="13"/>
      <c r="G27" s="13"/>
      <c r="H27" s="14"/>
      <c r="I27" s="14"/>
    </row>
    <row r="28" spans="1:9" x14ac:dyDescent="0.25">
      <c r="A28" s="13"/>
      <c r="B28" s="13"/>
      <c r="C28" s="13"/>
      <c r="D28" s="13"/>
      <c r="E28" s="13"/>
      <c r="F28" s="13"/>
      <c r="G28" s="13"/>
      <c r="H28" s="14"/>
      <c r="I28" s="14"/>
    </row>
    <row r="29" spans="1:9" x14ac:dyDescent="0.25">
      <c r="A29" s="13"/>
      <c r="B29" s="13"/>
      <c r="C29" s="13"/>
      <c r="D29" s="13"/>
      <c r="E29" s="13"/>
      <c r="F29" s="13"/>
      <c r="G29" s="13"/>
      <c r="H29" s="14"/>
      <c r="I29" s="14"/>
    </row>
    <row r="30" spans="1:9" x14ac:dyDescent="0.25">
      <c r="A30" s="13"/>
      <c r="B30" s="13"/>
      <c r="C30" s="13"/>
      <c r="D30" s="13"/>
      <c r="E30" s="13"/>
      <c r="F30" s="13"/>
      <c r="G30" s="13"/>
      <c r="H30" s="14"/>
      <c r="I30" s="14"/>
    </row>
    <row r="31" spans="1:9" x14ac:dyDescent="0.25">
      <c r="A31" s="13"/>
      <c r="B31" s="13"/>
      <c r="C31" s="13"/>
      <c r="D31" s="13"/>
      <c r="E31" s="13"/>
      <c r="F31" s="13"/>
      <c r="G31" s="13"/>
      <c r="H31" s="14"/>
      <c r="I31" s="14"/>
    </row>
    <row r="32" spans="1:9" x14ac:dyDescent="0.25">
      <c r="A32" s="13"/>
      <c r="B32" s="13"/>
      <c r="C32" s="13"/>
      <c r="D32" s="13"/>
      <c r="E32" s="13"/>
      <c r="F32" s="13"/>
      <c r="G32" s="13"/>
      <c r="H32" s="14"/>
      <c r="I32" s="14"/>
    </row>
    <row r="33" spans="1:9" x14ac:dyDescent="0.25">
      <c r="A33" s="13"/>
      <c r="B33" s="13"/>
      <c r="C33" s="13"/>
      <c r="D33" s="13"/>
      <c r="E33" s="13"/>
      <c r="F33" s="13"/>
      <c r="G33" s="13"/>
      <c r="H33" s="14"/>
      <c r="I33" s="14"/>
    </row>
  </sheetData>
  <mergeCells count="2">
    <mergeCell ref="A2:E2"/>
    <mergeCell ref="A1:E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"/>
  <sheetViews>
    <sheetView zoomScale="113" zoomScaleNormal="85" workbookViewId="0">
      <pane ySplit="5" topLeftCell="A6" activePane="bottomLeft" state="frozen"/>
      <selection pane="bottomLeft" activeCell="C8" sqref="C8"/>
    </sheetView>
  </sheetViews>
  <sheetFormatPr defaultColWidth="9.140625" defaultRowHeight="13.5" x14ac:dyDescent="0.25"/>
  <cols>
    <col min="1" max="1" width="51.42578125" style="168" customWidth="1"/>
    <col min="2" max="2" width="51.5703125" style="168" customWidth="1"/>
    <col min="3" max="3" width="36.42578125" style="168" customWidth="1"/>
    <col min="4" max="4" width="40.28515625" style="168" customWidth="1"/>
    <col min="5" max="5" width="44.85546875" style="168" customWidth="1"/>
    <col min="6" max="6" width="47.140625" style="168" customWidth="1"/>
    <col min="7" max="7" width="30.85546875" style="168" customWidth="1"/>
    <col min="8" max="8" width="34.28515625" style="169" customWidth="1"/>
    <col min="9" max="12" width="12.7109375" style="169" customWidth="1"/>
    <col min="13" max="18" width="9.140625" style="169"/>
    <col min="19" max="16384" width="9.140625" style="168"/>
  </cols>
  <sheetData>
    <row r="1" spans="1:18" ht="9" customHeight="1" x14ac:dyDescent="0.25"/>
    <row r="2" spans="1:18" s="181" customFormat="1" ht="17.25" customHeight="1" x14ac:dyDescent="0.25">
      <c r="A2" s="262" t="s">
        <v>402</v>
      </c>
      <c r="B2" s="262"/>
      <c r="C2" s="263" t="s">
        <v>403</v>
      </c>
      <c r="D2" s="263"/>
      <c r="E2" s="263" t="s">
        <v>404</v>
      </c>
      <c r="F2" s="263"/>
      <c r="I2" s="182"/>
      <c r="J2" s="182"/>
      <c r="K2" s="182"/>
      <c r="L2" s="182"/>
      <c r="M2" s="182"/>
      <c r="N2" s="182"/>
      <c r="O2" s="182"/>
      <c r="P2" s="182"/>
      <c r="Q2" s="182"/>
      <c r="R2" s="182"/>
    </row>
    <row r="3" spans="1:18" ht="18" customHeight="1" thickBot="1" x14ac:dyDescent="0.3"/>
    <row r="4" spans="1:18" s="180" customFormat="1" ht="16.5" customHeight="1" x14ac:dyDescent="0.25">
      <c r="A4" s="264" t="s">
        <v>405</v>
      </c>
      <c r="B4" s="265"/>
      <c r="C4" s="265" t="s">
        <v>406</v>
      </c>
      <c r="D4" s="265"/>
      <c r="E4" s="265" t="s">
        <v>407</v>
      </c>
      <c r="F4" s="265"/>
      <c r="G4" s="165">
        <f>SUM(G6:G23)</f>
        <v>9412323148</v>
      </c>
      <c r="H4" s="166">
        <f>SUM(H6:H23)</f>
        <v>9166102476.2999992</v>
      </c>
      <c r="I4" s="179"/>
      <c r="J4" s="179"/>
      <c r="K4" s="179"/>
      <c r="L4" s="179"/>
      <c r="M4" s="179"/>
      <c r="N4" s="179"/>
      <c r="O4" s="179"/>
      <c r="P4" s="179"/>
      <c r="Q4" s="179"/>
      <c r="R4" s="179"/>
    </row>
    <row r="5" spans="1:18" s="180" customFormat="1" ht="64.5" customHeight="1" x14ac:dyDescent="0.25">
      <c r="A5" s="260" t="s">
        <v>408</v>
      </c>
      <c r="B5" s="261"/>
      <c r="C5" s="261" t="s">
        <v>409</v>
      </c>
      <c r="D5" s="261"/>
      <c r="E5" s="261" t="s">
        <v>410</v>
      </c>
      <c r="F5" s="261"/>
      <c r="G5" s="23" t="s">
        <v>460</v>
      </c>
      <c r="H5" s="167" t="s">
        <v>461</v>
      </c>
      <c r="I5" s="179"/>
      <c r="J5" s="179"/>
      <c r="K5" s="179"/>
      <c r="L5" s="179"/>
      <c r="M5" s="179"/>
      <c r="N5" s="179"/>
      <c r="O5" s="179"/>
      <c r="P5" s="179"/>
      <c r="Q5" s="179"/>
      <c r="R5" s="179"/>
    </row>
    <row r="6" spans="1:18" ht="39" customHeight="1" x14ac:dyDescent="0.25">
      <c r="A6" s="172" t="s">
        <v>393</v>
      </c>
      <c r="B6" s="173" t="s">
        <v>284</v>
      </c>
      <c r="C6" s="173" t="s">
        <v>430</v>
      </c>
      <c r="D6" s="173" t="s">
        <v>431</v>
      </c>
      <c r="E6" s="173" t="s">
        <v>432</v>
      </c>
      <c r="F6" s="173" t="s">
        <v>433</v>
      </c>
      <c r="G6" s="170">
        <v>2000000000</v>
      </c>
      <c r="H6" s="171">
        <v>2000000000</v>
      </c>
    </row>
    <row r="7" spans="1:18" ht="30.75" customHeight="1" x14ac:dyDescent="0.25">
      <c r="A7" s="172" t="s">
        <v>411</v>
      </c>
      <c r="B7" s="173" t="s">
        <v>283</v>
      </c>
      <c r="C7" s="173" t="s">
        <v>412</v>
      </c>
      <c r="D7" s="173" t="s">
        <v>413</v>
      </c>
      <c r="E7" s="173" t="s">
        <v>414</v>
      </c>
      <c r="F7" s="173" t="s">
        <v>415</v>
      </c>
      <c r="G7" s="170">
        <v>825000000</v>
      </c>
      <c r="H7" s="171">
        <v>687500000</v>
      </c>
    </row>
    <row r="8" spans="1:18" ht="27.75" customHeight="1" x14ac:dyDescent="0.25">
      <c r="A8" s="172" t="s">
        <v>459</v>
      </c>
      <c r="B8" s="173" t="s">
        <v>283</v>
      </c>
      <c r="C8" s="173" t="s">
        <v>416</v>
      </c>
      <c r="D8" s="173" t="s">
        <v>413</v>
      </c>
      <c r="E8" s="173" t="s">
        <v>417</v>
      </c>
      <c r="F8" s="173" t="s">
        <v>415</v>
      </c>
      <c r="G8" s="170">
        <v>265000000</v>
      </c>
      <c r="H8" s="171">
        <v>242916666.30000001</v>
      </c>
    </row>
    <row r="9" spans="1:18" ht="27.75" customHeight="1" x14ac:dyDescent="0.25">
      <c r="A9" s="172" t="s">
        <v>294</v>
      </c>
      <c r="B9" s="173" t="s">
        <v>295</v>
      </c>
      <c r="C9" s="173" t="s">
        <v>423</v>
      </c>
      <c r="D9" s="173" t="s">
        <v>424</v>
      </c>
      <c r="E9" s="173" t="s">
        <v>425</v>
      </c>
      <c r="F9" s="173" t="s">
        <v>426</v>
      </c>
      <c r="G9" s="170">
        <v>103500000</v>
      </c>
      <c r="H9" s="171">
        <v>91989000</v>
      </c>
    </row>
    <row r="10" spans="1:18" ht="27.75" customHeight="1" x14ac:dyDescent="0.25">
      <c r="A10" s="172" t="s">
        <v>427</v>
      </c>
      <c r="B10" s="174" t="s">
        <v>295</v>
      </c>
      <c r="C10" s="173" t="s">
        <v>428</v>
      </c>
      <c r="D10" s="173" t="s">
        <v>424</v>
      </c>
      <c r="E10" s="173" t="s">
        <v>429</v>
      </c>
      <c r="F10" s="173" t="s">
        <v>426</v>
      </c>
      <c r="G10" s="170">
        <v>100000000</v>
      </c>
      <c r="H10" s="171">
        <v>88888888</v>
      </c>
    </row>
    <row r="11" spans="1:18" ht="45.75" customHeight="1" x14ac:dyDescent="0.25">
      <c r="A11" s="172" t="s">
        <v>457</v>
      </c>
      <c r="B11" s="174" t="s">
        <v>295</v>
      </c>
      <c r="C11" s="173" t="s">
        <v>421</v>
      </c>
      <c r="D11" s="173" t="s">
        <v>424</v>
      </c>
      <c r="E11" s="173" t="s">
        <v>422</v>
      </c>
      <c r="F11" s="173" t="s">
        <v>426</v>
      </c>
      <c r="G11" s="170">
        <v>253500000</v>
      </c>
      <c r="H11" s="171">
        <v>225333333</v>
      </c>
    </row>
    <row r="12" spans="1:18" ht="30.75" customHeight="1" x14ac:dyDescent="0.25">
      <c r="A12" s="172" t="s">
        <v>457</v>
      </c>
      <c r="B12" s="173" t="s">
        <v>283</v>
      </c>
      <c r="C12" s="173" t="s">
        <v>421</v>
      </c>
      <c r="D12" s="173" t="s">
        <v>413</v>
      </c>
      <c r="E12" s="173" t="s">
        <v>422</v>
      </c>
      <c r="F12" s="173" t="s">
        <v>415</v>
      </c>
      <c r="G12" s="170">
        <v>430182000</v>
      </c>
      <c r="H12" s="171">
        <v>394333441</v>
      </c>
    </row>
    <row r="13" spans="1:18" ht="36.75" customHeight="1" x14ac:dyDescent="0.25">
      <c r="A13" s="172" t="s">
        <v>418</v>
      </c>
      <c r="B13" s="173" t="s">
        <v>283</v>
      </c>
      <c r="C13" s="173" t="s">
        <v>419</v>
      </c>
      <c r="D13" s="173" t="s">
        <v>413</v>
      </c>
      <c r="E13" s="173" t="s">
        <v>420</v>
      </c>
      <c r="F13" s="173" t="s">
        <v>415</v>
      </c>
      <c r="G13" s="170">
        <v>127200000</v>
      </c>
      <c r="H13" s="171">
        <v>127200000</v>
      </c>
    </row>
    <row r="14" spans="1:18" ht="60.75" customHeight="1" x14ac:dyDescent="0.25">
      <c r="A14" s="172" t="s">
        <v>382</v>
      </c>
      <c r="B14" s="173" t="s">
        <v>381</v>
      </c>
      <c r="C14" s="173" t="s">
        <v>434</v>
      </c>
      <c r="D14" s="173" t="s">
        <v>435</v>
      </c>
      <c r="E14" s="173" t="s">
        <v>436</v>
      </c>
      <c r="F14" s="173" t="s">
        <v>437</v>
      </c>
      <c r="G14" s="170">
        <v>500000000</v>
      </c>
      <c r="H14" s="171">
        <v>500000000</v>
      </c>
    </row>
    <row r="15" spans="1:18" ht="26.25" customHeight="1" x14ac:dyDescent="0.25">
      <c r="A15" s="172" t="s">
        <v>385</v>
      </c>
      <c r="B15" s="173" t="s">
        <v>283</v>
      </c>
      <c r="C15" s="173" t="s">
        <v>438</v>
      </c>
      <c r="D15" s="173" t="s">
        <v>413</v>
      </c>
      <c r="E15" s="173" t="s">
        <v>439</v>
      </c>
      <c r="F15" s="173" t="s">
        <v>415</v>
      </c>
      <c r="G15" s="170">
        <v>234990000</v>
      </c>
      <c r="H15" s="171">
        <v>234990000</v>
      </c>
    </row>
    <row r="16" spans="1:18" ht="26.25" customHeight="1" x14ac:dyDescent="0.25">
      <c r="A16" s="172" t="s">
        <v>396</v>
      </c>
      <c r="B16" s="173" t="s">
        <v>386</v>
      </c>
      <c r="C16" s="173" t="s">
        <v>440</v>
      </c>
      <c r="D16" s="173" t="s">
        <v>441</v>
      </c>
      <c r="E16" s="173" t="s">
        <v>442</v>
      </c>
      <c r="F16" s="173" t="s">
        <v>443</v>
      </c>
      <c r="G16" s="170">
        <v>450000000</v>
      </c>
      <c r="H16" s="175">
        <v>450000000</v>
      </c>
    </row>
    <row r="17" spans="1:12" ht="43.5" customHeight="1" x14ac:dyDescent="0.25">
      <c r="A17" s="172" t="s">
        <v>393</v>
      </c>
      <c r="B17" s="174" t="s">
        <v>381</v>
      </c>
      <c r="C17" s="173" t="s">
        <v>430</v>
      </c>
      <c r="D17" s="173" t="s">
        <v>435</v>
      </c>
      <c r="E17" s="173" t="s">
        <v>432</v>
      </c>
      <c r="F17" s="173" t="s">
        <v>437</v>
      </c>
      <c r="G17" s="173">
        <v>1248200000</v>
      </c>
      <c r="H17" s="175">
        <v>1248200000</v>
      </c>
    </row>
    <row r="18" spans="1:12" ht="36.75" customHeight="1" x14ac:dyDescent="0.25">
      <c r="A18" s="172" t="s">
        <v>394</v>
      </c>
      <c r="B18" s="174" t="s">
        <v>283</v>
      </c>
      <c r="C18" s="173" t="s">
        <v>416</v>
      </c>
      <c r="D18" s="173" t="s">
        <v>413</v>
      </c>
      <c r="E18" s="173" t="s">
        <v>417</v>
      </c>
      <c r="F18" s="173" t="s">
        <v>415</v>
      </c>
      <c r="G18" s="173">
        <v>139373675</v>
      </c>
      <c r="H18" s="175">
        <v>139373675</v>
      </c>
    </row>
    <row r="19" spans="1:12" ht="36.75" customHeight="1" x14ac:dyDescent="0.25">
      <c r="A19" s="172" t="s">
        <v>395</v>
      </c>
      <c r="B19" s="174" t="s">
        <v>397</v>
      </c>
      <c r="C19" s="174" t="s">
        <v>444</v>
      </c>
      <c r="D19" s="174" t="s">
        <v>445</v>
      </c>
      <c r="E19" s="174" t="s">
        <v>446</v>
      </c>
      <c r="F19" s="173" t="s">
        <v>447</v>
      </c>
      <c r="G19" s="173">
        <v>900000000</v>
      </c>
      <c r="H19" s="171">
        <v>900000000</v>
      </c>
    </row>
    <row r="20" spans="1:12" ht="50.25" customHeight="1" x14ac:dyDescent="0.25">
      <c r="A20" s="172" t="s">
        <v>396</v>
      </c>
      <c r="B20" s="174" t="s">
        <v>398</v>
      </c>
      <c r="C20" s="173" t="s">
        <v>440</v>
      </c>
      <c r="D20" s="174" t="s">
        <v>448</v>
      </c>
      <c r="E20" s="173" t="s">
        <v>442</v>
      </c>
      <c r="F20" s="173" t="s">
        <v>449</v>
      </c>
      <c r="G20" s="170">
        <v>250000000</v>
      </c>
      <c r="H20" s="171">
        <v>250000000</v>
      </c>
    </row>
    <row r="21" spans="1:12" ht="30.75" customHeight="1" x14ac:dyDescent="0.25">
      <c r="A21" s="172" t="s">
        <v>418</v>
      </c>
      <c r="B21" s="174" t="s">
        <v>283</v>
      </c>
      <c r="C21" s="173" t="s">
        <v>419</v>
      </c>
      <c r="D21" s="173" t="s">
        <v>413</v>
      </c>
      <c r="E21" s="173" t="s">
        <v>420</v>
      </c>
      <c r="F21" s="173" t="s">
        <v>415</v>
      </c>
      <c r="G21" s="170">
        <v>218138000</v>
      </c>
      <c r="H21" s="171">
        <v>218138000</v>
      </c>
      <c r="I21" s="176"/>
      <c r="J21" s="176"/>
      <c r="K21" s="176"/>
      <c r="L21" s="176"/>
    </row>
    <row r="22" spans="1:12" ht="27.75" customHeight="1" x14ac:dyDescent="0.25">
      <c r="A22" s="172" t="s">
        <v>411</v>
      </c>
      <c r="B22" s="174" t="s">
        <v>283</v>
      </c>
      <c r="C22" s="173" t="s">
        <v>412</v>
      </c>
      <c r="D22" s="173" t="s">
        <v>413</v>
      </c>
      <c r="E22" s="173" t="s">
        <v>414</v>
      </c>
      <c r="F22" s="173" t="s">
        <v>415</v>
      </c>
      <c r="G22" s="170">
        <v>692955973</v>
      </c>
      <c r="H22" s="171">
        <v>692955973</v>
      </c>
      <c r="I22" s="176"/>
      <c r="J22" s="176"/>
      <c r="K22" s="176"/>
      <c r="L22" s="176"/>
    </row>
    <row r="23" spans="1:12" ht="38.25" customHeight="1" x14ac:dyDescent="0.25">
      <c r="A23" s="172" t="s">
        <v>457</v>
      </c>
      <c r="B23" s="174" t="s">
        <v>283</v>
      </c>
      <c r="C23" s="173" t="s">
        <v>421</v>
      </c>
      <c r="D23" s="173" t="s">
        <v>413</v>
      </c>
      <c r="E23" s="173" t="s">
        <v>422</v>
      </c>
      <c r="F23" s="173" t="s">
        <v>415</v>
      </c>
      <c r="G23" s="170">
        <v>674283500</v>
      </c>
      <c r="H23" s="171">
        <v>674283500</v>
      </c>
      <c r="I23" s="176"/>
      <c r="J23" s="176"/>
      <c r="K23" s="176"/>
      <c r="L23" s="176"/>
    </row>
    <row r="24" spans="1:12" ht="45" customHeight="1" thickBot="1" x14ac:dyDescent="0.3">
      <c r="A24" s="258" t="s">
        <v>450</v>
      </c>
      <c r="B24" s="259"/>
      <c r="C24" s="259" t="s">
        <v>451</v>
      </c>
      <c r="D24" s="259"/>
      <c r="E24" s="259" t="s">
        <v>452</v>
      </c>
      <c r="F24" s="259"/>
      <c r="G24" s="177"/>
      <c r="H24" s="178"/>
    </row>
  </sheetData>
  <mergeCells count="12">
    <mergeCell ref="A2:B2"/>
    <mergeCell ref="C2:D2"/>
    <mergeCell ref="A4:B4"/>
    <mergeCell ref="C4:D4"/>
    <mergeCell ref="E4:F4"/>
    <mergeCell ref="E2:F2"/>
    <mergeCell ref="A24:B24"/>
    <mergeCell ref="C24:D24"/>
    <mergeCell ref="E24:F24"/>
    <mergeCell ref="A5:B5"/>
    <mergeCell ref="C5:D5"/>
    <mergeCell ref="E5:F5"/>
  </mergeCells>
  <printOptions horizontalCentered="1"/>
  <pageMargins left="0.5" right="0.5" top="0.25" bottom="0.25" header="7.0000000000000007E-2" footer="0.16"/>
  <pageSetup paperSize="9" scale="68" orientation="landscape" r:id="rId1"/>
  <headerFooter>
    <oddFooter>&amp;R9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դեկտեմբեր</vt:lpstr>
      <vt:lpstr>բյուջետային երաշխիք</vt:lpstr>
      <vt:lpstr>Government Guarantees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Susanna Sargsyan</dc:creator>
  <cp:lastModifiedBy>Lusine Grigoryan</cp:lastModifiedBy>
  <cp:lastPrinted>2022-11-07T07:50:52Z</cp:lastPrinted>
  <dcterms:created xsi:type="dcterms:W3CDTF">2021-02-19T11:33:22Z</dcterms:created>
  <dcterms:modified xsi:type="dcterms:W3CDTF">2023-01-16T11:45:04Z</dcterms:modified>
  <cp:keywords>https://mul2-minfin.gov.am/tasks/578421/oneclick/5cd0cc21a7203298aa7cd3ee49eabd8beb1ff7dfd6a16af8c9afcd53ebf6ebe4.xlsx?token=cc71b162dc3b4634cd16fc3ea99f8c59</cp:keywords>
</cp:coreProperties>
</file>