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1425" windowWidth="15480" windowHeight="10995" tabRatio="894" activeTab="0"/>
  </bookViews>
  <sheets>
    <sheet name="Sheet1" sheetId="1" r:id="rId1"/>
  </sheets>
  <externalReferences>
    <externalReference r:id="rId4"/>
  </externalReferences>
  <definedNames>
    <definedName name="_xlfn.RTD" hidden="1">#NAME?</definedName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<sst xmlns="http://schemas.openxmlformats.org/spreadsheetml/2006/main" count="62" uniqueCount="44">
  <si>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</si>
  <si>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</si>
  <si>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</si>
  <si>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</si>
  <si>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</si>
  <si>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</si>
  <si>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</si>
  <si>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</si>
  <si>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</si>
  <si>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</si>
  <si>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</si>
  <si>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</si>
  <si>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AMGN36294194</t>
  </si>
  <si>
    <t>AMGN60294219</t>
  </si>
  <si>
    <t>AMGB1029A250</t>
  </si>
  <si>
    <t>AMGB20172327</t>
  </si>
  <si>
    <t>AMGB2029A366</t>
  </si>
  <si>
    <t>AMGN60294193</t>
  </si>
  <si>
    <t>AMGN60294201</t>
  </si>
  <si>
    <t>AMGB1513C200</t>
  </si>
  <si>
    <t>AMGB1419C200</t>
  </si>
  <si>
    <t>AMGB10172212</t>
  </si>
  <si>
    <t>AMGB15213219</t>
  </si>
  <si>
    <t>AMGB1029A235</t>
  </si>
  <si>
    <t>AMGB20072287</t>
  </si>
  <si>
    <t>ISIN</t>
  </si>
  <si>
    <t>AMGN36294202</t>
  </si>
  <si>
    <t>AMGN60294227</t>
  </si>
  <si>
    <t>AMGB30163472</t>
  </si>
  <si>
    <t>AMGB1029A276</t>
  </si>
  <si>
    <t>AMGT52141190</t>
  </si>
  <si>
    <t>AMGT52042190</t>
  </si>
  <si>
    <t>AMGT52043198</t>
  </si>
  <si>
    <t>AMGT52084192</t>
  </si>
  <si>
    <t>AMGT52065191</t>
  </si>
  <si>
    <t>AMGN60294235</t>
  </si>
  <si>
    <t>AMGT52036192</t>
  </si>
  <si>
    <t>AMGT52017192</t>
  </si>
  <si>
    <t>AMGT52058196</t>
  </si>
  <si>
    <t>AMGT52029197</t>
  </si>
  <si>
    <t>AMGT52309193</t>
  </si>
  <si>
    <t>AMGT5204B198</t>
  </si>
  <si>
    <t>AMGT5202C190</t>
  </si>
  <si>
    <t>Government Bonds Outstanding as of 28 December,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</si>
</sst>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0%"/>
    <numFmt numFmtId="182" formatCode="_ * #,##0_ ;_ * \-#,##0_ ;_ * &quot;-&quot;??_ ;_ @_ "/>
    <numFmt numFmtId="183" formatCode="0.0%"/>
    <numFmt numFmtId="184" formatCode="_(* #,##0.0_);_(* \(#,##0.0\);_(* &quot;-&quot;??_);_(@_)"/>
    <numFmt numFmtId="185" formatCode="0.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00"/>
    <numFmt numFmtId="191" formatCode="0.00000"/>
    <numFmt numFmtId="192" formatCode="0.00000%"/>
    <numFmt numFmtId="193" formatCode="_(* #,##0.0000000_);_(* \(#,##0.0000000\);_(* &quot;-&quot;??_);_(@_)"/>
    <numFmt numFmtId="194" formatCode="_(* #,##0.0000000000_);_(* \(#,##0.0000000000\);_(* &quot;-&quot;??_);_(@_)"/>
    <numFmt numFmtId="195" formatCode="0.000%"/>
    <numFmt numFmtId="196" formatCode="0.000000"/>
    <numFmt numFmtId="197" formatCode="mmm\-yyyy"/>
    <numFmt numFmtId="198" formatCode="_(* #,##0.0000_);_(* \(#,##0.0000\);_(* &quot;-&quot;????_);_(@_)"/>
    <numFmt numFmtId="199" formatCode="[$-409]dddd\,\ mmmm\ dd\,\ yyyy"/>
    <numFmt numFmtId="200" formatCode="[$-409]d\-mmm\-yy;@"/>
    <numFmt numFmtId="201" formatCode="_(* #,##0.0_);_(* \(#,##0.0\);_(* &quot;-&quot;?_);_(@_)"/>
    <numFmt numFmtId="202" formatCode="[$-409]mmm\-yy;@"/>
    <numFmt numFmtId="203" formatCode="0.0"/>
    <numFmt numFmtId="204" formatCode="_-* #,##0.0_-;\-* #,##0.0_-;_-* &quot;-&quot;?_-;_-@_-"/>
    <numFmt numFmtId="205" formatCode="_-* #,##0.0000_-;\-* #,##0.0000_-;_-* &quot;-&quot;????_-;_-@_-"/>
    <numFmt numFmtId="206" formatCode="dd/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14" fontId="47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0" fontId="8" fillId="0" borderId="12" xfId="42" applyNumberFormat="1" applyFont="1" applyBorder="1" applyAlignment="1">
      <alignment horizontal="center" vertical="center" wrapText="1"/>
    </xf>
    <xf numFmtId="181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0" fontId="8" fillId="0" borderId="16" xfId="42" applyNumberFormat="1" applyFont="1" applyFill="1" applyBorder="1" applyAlignment="1">
      <alignment/>
    </xf>
    <xf numFmtId="180" fontId="8" fillId="0" borderId="16" xfId="42" applyNumberFormat="1" applyFont="1" applyBorder="1" applyAlignment="1">
      <alignment/>
    </xf>
    <xf numFmtId="180" fontId="8" fillId="0" borderId="17" xfId="42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181" fontId="8" fillId="0" borderId="17" xfId="0" applyNumberFormat="1" applyFont="1" applyBorder="1" applyAlignment="1">
      <alignment horizontal="center"/>
    </xf>
    <xf numFmtId="181" fontId="8" fillId="0" borderId="17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0" fontId="9" fillId="0" borderId="12" xfId="42" applyNumberFormat="1" applyFont="1" applyBorder="1" applyAlignment="1">
      <alignment/>
    </xf>
    <xf numFmtId="180" fontId="6" fillId="0" borderId="12" xfId="42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181" fontId="9" fillId="0" borderId="12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0" fontId="9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87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0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0" fontId="8" fillId="0" borderId="15" xfId="42" applyNumberFormat="1" applyFont="1" applyBorder="1" applyAlignment="1">
      <alignment/>
    </xf>
    <xf numFmtId="181" fontId="8" fillId="0" borderId="15" xfId="0" applyNumberFormat="1" applyFont="1" applyBorder="1" applyAlignment="1">
      <alignment/>
    </xf>
    <xf numFmtId="0" fontId="48" fillId="0" borderId="0" xfId="0" applyFont="1" applyAlignment="1">
      <alignment/>
    </xf>
    <xf numFmtId="180" fontId="8" fillId="0" borderId="21" xfId="42" applyNumberFormat="1" applyFont="1" applyBorder="1" applyAlignment="1">
      <alignment/>
    </xf>
    <xf numFmtId="181" fontId="8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5" fontId="8" fillId="0" borderId="23" xfId="0" applyNumberFormat="1" applyFont="1" applyBorder="1" applyAlignment="1">
      <alignment horizontal="center"/>
    </xf>
    <xf numFmtId="181" fontId="8" fillId="0" borderId="21" xfId="0" applyNumberFormat="1" applyFont="1" applyBorder="1" applyAlignment="1">
      <alignment horizontal="center"/>
    </xf>
    <xf numFmtId="15" fontId="8" fillId="0" borderId="2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15" fontId="8" fillId="0" borderId="26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0" fontId="8" fillId="33" borderId="16" xfId="42" applyNumberFormat="1" applyFont="1" applyFill="1" applyBorder="1" applyAlignment="1">
      <alignment/>
    </xf>
    <xf numFmtId="180" fontId="8" fillId="33" borderId="17" xfId="42" applyNumberFormat="1" applyFont="1" applyFill="1" applyBorder="1" applyAlignment="1">
      <alignment/>
    </xf>
    <xf numFmtId="180" fontId="8" fillId="33" borderId="17" xfId="0" applyNumberFormat="1" applyFont="1" applyFill="1" applyBorder="1" applyAlignment="1">
      <alignment/>
    </xf>
    <xf numFmtId="181" fontId="8" fillId="33" borderId="17" xfId="0" applyNumberFormat="1" applyFont="1" applyFill="1" applyBorder="1" applyAlignment="1">
      <alignment horizontal="center"/>
    </xf>
    <xf numFmtId="15" fontId="8" fillId="33" borderId="14" xfId="0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80" fontId="8" fillId="0" borderId="12" xfId="42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15" fontId="8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ront_office\NERQIN%20PARTQ\NOR-T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OST"/>
      <sheetName val="OUTST"/>
      <sheetName val="hetgnum"/>
      <sheetName val="TERI"/>
      <sheetName val="erams-1996-2005"/>
      <sheetName val="y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NPP"/>
      <sheetName val="2019"/>
      <sheetName val="ARsh"/>
      <sheetName val="Red.History"/>
      <sheetName val="gn"/>
      <sheetName val="gb"/>
      <sheetName val="1-10weeks"/>
      <sheetName val="11-20weeks"/>
      <sheetName val="21-30weeks"/>
      <sheetName val="31-40weeks"/>
      <sheetName val="41-52weeks"/>
      <sheetName val="AP"/>
      <sheetName val="tesutyun"/>
      <sheetName val="Sheet1"/>
      <sheetName val="XPstug"/>
      <sheetName val="PKP_MIG_ERK_by_GP"/>
      <sheetName val="ISIN"/>
      <sheetName val="investors"/>
      <sheetName val="investors-nor"/>
      <sheetName val="Sheet2"/>
      <sheetName val="AP (2)"/>
    </sheetNames>
    <sheetDataSet>
      <sheetData sheetId="25">
        <row r="1150">
          <cell r="I1150">
            <v>588111.488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3" width="34.28125" style="1" bestFit="1" customWidth="1"/>
    <col min="4" max="5" width="21.7109375" style="1" customWidth="1"/>
    <col min="6" max="6" width="26.421875" style="1" bestFit="1" customWidth="1"/>
    <col min="7" max="7" width="19.7109375" style="1" customWidth="1"/>
    <col min="8" max="8" width="15.28125" style="1" customWidth="1"/>
    <col min="9" max="9" width="12.7109375" style="1" bestFit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2.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v>43462</v>
      </c>
    </row>
    <row r="5" spans="1:10" ht="48.75" customHeight="1" thickBot="1">
      <c r="A5" s="6" t="s">
        <v>9</v>
      </c>
      <c r="B5" s="7" t="s">
        <v>25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0" ht="21.75" customHeight="1">
      <c r="A6" s="63">
        <v>42854</v>
      </c>
      <c r="B6" s="58" t="s">
        <v>26</v>
      </c>
      <c r="C6" s="59">
        <v>200000000000</v>
      </c>
      <c r="D6" s="59">
        <f>10000000000+1180000000+5000000000+2000000000+399000000+2705000000+340000000+2500000000+370000000+2500000000+230500000+7000000000+1260000000</f>
        <v>35484500000</v>
      </c>
      <c r="E6" s="60"/>
      <c r="F6" s="61">
        <f aca="true" t="shared" si="0" ref="F6:F11">+D6-E6</f>
        <v>35484500000</v>
      </c>
      <c r="G6" s="62">
        <v>0.08</v>
      </c>
      <c r="H6" s="19">
        <v>0.0787812539136806</v>
      </c>
      <c r="I6" s="20">
        <f aca="true" t="shared" si="1" ref="I6:I11">J6-$J$4</f>
        <v>488</v>
      </c>
      <c r="J6" s="21">
        <v>43950</v>
      </c>
    </row>
    <row r="7" spans="1:10" ht="21.75" customHeight="1">
      <c r="A7" s="22">
        <v>42489</v>
      </c>
      <c r="B7" s="13" t="s">
        <v>13</v>
      </c>
      <c r="C7" s="14">
        <v>50000000000</v>
      </c>
      <c r="D7" s="15">
        <f>5000000000+5000000000+5000000000+6000000000+5000000000+5000000000+2000000000+4000000000+3000000000+5000000000+5000000000</f>
        <v>50000000000</v>
      </c>
      <c r="E7" s="16"/>
      <c r="F7" s="17">
        <f>+D7-E7</f>
        <v>50000000000</v>
      </c>
      <c r="G7" s="18">
        <v>0.1</v>
      </c>
      <c r="H7" s="19">
        <v>0.11688884</v>
      </c>
      <c r="I7" s="20">
        <f>J7-$J$4</f>
        <v>853</v>
      </c>
      <c r="J7" s="21">
        <v>44315</v>
      </c>
    </row>
    <row r="8" spans="1:10" ht="21.75" customHeight="1">
      <c r="A8" s="22">
        <v>43219</v>
      </c>
      <c r="B8" s="13" t="s">
        <v>35</v>
      </c>
      <c r="C8" s="14">
        <v>200000000000</v>
      </c>
      <c r="D8" s="15">
        <f>8120000000+6000000000+716600000+8056000000</f>
        <v>22892600000</v>
      </c>
      <c r="E8" s="16"/>
      <c r="F8" s="17">
        <f>+D8-E8</f>
        <v>22892600000</v>
      </c>
      <c r="G8" s="18">
        <v>0.08</v>
      </c>
      <c r="H8" s="23">
        <v>0.0830876927566113</v>
      </c>
      <c r="I8" s="20">
        <f>J8-$J$4</f>
        <v>1583</v>
      </c>
      <c r="J8" s="21">
        <v>45045</v>
      </c>
    </row>
    <row r="9" spans="1:12" ht="21.75" customHeight="1">
      <c r="A9" s="22">
        <v>43037</v>
      </c>
      <c r="B9" s="13" t="s">
        <v>29</v>
      </c>
      <c r="C9" s="14">
        <v>200000000000</v>
      </c>
      <c r="D9" s="15">
        <f>12000000000+15000000000+2370000000+5900000000</f>
        <v>35270000000</v>
      </c>
      <c r="E9" s="16"/>
      <c r="F9" s="17">
        <f>+D9-E9</f>
        <v>35270000000</v>
      </c>
      <c r="G9" s="18">
        <v>0.1</v>
      </c>
      <c r="H9" s="23">
        <v>0.0949734241565069</v>
      </c>
      <c r="I9" s="20">
        <f>J9-$J$4</f>
        <v>3227</v>
      </c>
      <c r="J9" s="21">
        <v>46689</v>
      </c>
      <c r="L9" s="41"/>
    </row>
    <row r="10" spans="1:10" ht="21.75" customHeight="1">
      <c r="A10" s="12">
        <v>42489</v>
      </c>
      <c r="B10" s="13" t="s">
        <v>16</v>
      </c>
      <c r="C10" s="14">
        <v>80000000000</v>
      </c>
      <c r="D10" s="16">
        <f>7000000000+12000000000+18000000000+20000000000+2000000000+21000000000</f>
        <v>80000000000</v>
      </c>
      <c r="E10" s="16"/>
      <c r="F10" s="17">
        <f t="shared" si="0"/>
        <v>80000000000</v>
      </c>
      <c r="G10" s="18">
        <v>0.13</v>
      </c>
      <c r="H10" s="23">
        <v>0.1458184875</v>
      </c>
      <c r="I10" s="20">
        <f t="shared" si="1"/>
        <v>6515</v>
      </c>
      <c r="J10" s="21">
        <v>49977</v>
      </c>
    </row>
    <row r="11" spans="1:10" ht="21.75" customHeight="1" thickBot="1">
      <c r="A11" s="51">
        <v>42810</v>
      </c>
      <c r="B11" s="52" t="s">
        <v>28</v>
      </c>
      <c r="C11" s="14">
        <v>200000000000</v>
      </c>
      <c r="D11" s="48">
        <f>21000000000+4200000000+20000000000+1740000000+22000000+24000000000+1510000</f>
        <v>70963510000</v>
      </c>
      <c r="E11" s="48"/>
      <c r="F11" s="17">
        <f t="shared" si="0"/>
        <v>70963510000</v>
      </c>
      <c r="G11" s="53">
        <v>0.13</v>
      </c>
      <c r="H11" s="49">
        <v>0.12439302079986472</v>
      </c>
      <c r="I11" s="50">
        <f t="shared" si="1"/>
        <v>10305</v>
      </c>
      <c r="J11" s="54">
        <v>53767</v>
      </c>
    </row>
    <row r="12" spans="1:10" ht="33.75" customHeight="1" thickBot="1">
      <c r="A12" s="25"/>
      <c r="B12" s="26"/>
      <c r="C12" s="26"/>
      <c r="D12" s="27"/>
      <c r="E12" s="27"/>
      <c r="F12" s="28">
        <f>SUM(F6:F11)</f>
        <v>294610610000</v>
      </c>
      <c r="G12" s="29"/>
      <c r="H12" s="30"/>
      <c r="I12" s="31"/>
      <c r="J12" s="32"/>
    </row>
    <row r="13" spans="1:10" ht="21.75" customHeight="1">
      <c r="A13" s="33"/>
      <c r="B13" s="33"/>
      <c r="C13" s="33"/>
      <c r="D13" s="34"/>
      <c r="E13" s="34"/>
      <c r="F13" s="35"/>
      <c r="G13" s="36"/>
      <c r="H13" s="37"/>
      <c r="I13" s="33"/>
      <c r="J13" s="38"/>
    </row>
    <row r="14" spans="1:10" ht="20.25">
      <c r="A14" s="70" t="s">
        <v>6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1.75" customHeight="1" thickBot="1">
      <c r="A15" s="39"/>
      <c r="B15" s="39"/>
      <c r="C15" s="39"/>
      <c r="D15" s="39"/>
      <c r="E15" s="39"/>
      <c r="F15" s="39"/>
      <c r="G15" s="39"/>
      <c r="H15" s="39"/>
      <c r="I15" s="33"/>
      <c r="J15" s="38"/>
    </row>
    <row r="16" spans="1:10" ht="45.75" customHeight="1" thickBot="1">
      <c r="A16" s="6" t="s">
        <v>9</v>
      </c>
      <c r="B16" s="7" t="s">
        <v>25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40" t="s">
        <v>4</v>
      </c>
    </row>
    <row r="17" spans="1:10" ht="21.75" customHeight="1">
      <c r="A17" s="22">
        <v>42489</v>
      </c>
      <c r="B17" s="13" t="s">
        <v>12</v>
      </c>
      <c r="C17" s="14">
        <v>50000000000</v>
      </c>
      <c r="D17" s="15">
        <f>6000000000+6000000000+6000000000+4000000000+4847500000+4169000000+2500000000+4000000000+3000000000+5000000000+4000000000</f>
        <v>49516500000</v>
      </c>
      <c r="E17" s="16">
        <f>2000000000+2000000000+1300000000+1000000000+2000000000+2000000000+1000000000+2000000000+2000000000</f>
        <v>15300000000</v>
      </c>
      <c r="F17" s="17">
        <f aca="true" t="shared" si="2" ref="F17:F28">+D17-E17</f>
        <v>34216500000</v>
      </c>
      <c r="G17" s="18">
        <v>0.09</v>
      </c>
      <c r="H17" s="19">
        <v>0.135748505998568</v>
      </c>
      <c r="I17" s="20">
        <f aca="true" t="shared" si="3" ref="I17:I28">J17-$J$4</f>
        <v>122</v>
      </c>
      <c r="J17" s="21">
        <v>43584</v>
      </c>
    </row>
    <row r="18" spans="1:10" ht="21.75" customHeight="1">
      <c r="A18" s="12">
        <v>41758</v>
      </c>
      <c r="B18" s="13" t="s">
        <v>17</v>
      </c>
      <c r="C18" s="14">
        <v>40000000000</v>
      </c>
      <c r="D18" s="15">
        <f>7000000000+3000000000+2000000000+690000000+3000000000</f>
        <v>15690000000</v>
      </c>
      <c r="E18" s="16">
        <f>1000000000+2327155000+1297177000</f>
        <v>4624332000</v>
      </c>
      <c r="F18" s="17">
        <f t="shared" si="2"/>
        <v>11065668000</v>
      </c>
      <c r="G18" s="18">
        <v>0.08</v>
      </c>
      <c r="H18" s="19">
        <v>0.131229733999339</v>
      </c>
      <c r="I18" s="20">
        <f t="shared" si="3"/>
        <v>122</v>
      </c>
      <c r="J18" s="21">
        <v>43584</v>
      </c>
    </row>
    <row r="19" spans="1:10" ht="21.75" customHeight="1">
      <c r="A19" s="12">
        <v>42123</v>
      </c>
      <c r="B19" s="13" t="s">
        <v>18</v>
      </c>
      <c r="C19" s="14">
        <v>40000000000</v>
      </c>
      <c r="D19" s="16">
        <f>2930000000+3000000000+4000000000+3000000000+3500000000+3500000000+4000000000+3000000000+3000000000+5000000000</f>
        <v>34930000000</v>
      </c>
      <c r="E19" s="16"/>
      <c r="F19" s="17">
        <f t="shared" si="2"/>
        <v>34930000000</v>
      </c>
      <c r="G19" s="18">
        <v>0.1</v>
      </c>
      <c r="H19" s="19">
        <v>0.14988137990266245</v>
      </c>
      <c r="I19" s="20">
        <f t="shared" si="3"/>
        <v>488</v>
      </c>
      <c r="J19" s="21">
        <v>43950</v>
      </c>
    </row>
    <row r="20" spans="1:12" ht="21.75" customHeight="1">
      <c r="A20" s="12">
        <v>38699</v>
      </c>
      <c r="B20" s="13" t="s">
        <v>19</v>
      </c>
      <c r="C20" s="14">
        <v>1500000000</v>
      </c>
      <c r="D20" s="16">
        <v>1500000000</v>
      </c>
      <c r="E20" s="16">
        <v>410000000</v>
      </c>
      <c r="F20" s="17">
        <f t="shared" si="2"/>
        <v>1090000000</v>
      </c>
      <c r="G20" s="18">
        <v>0.1</v>
      </c>
      <c r="H20" s="23">
        <v>0.088226</v>
      </c>
      <c r="I20" s="20">
        <f t="shared" si="3"/>
        <v>716</v>
      </c>
      <c r="J20" s="21">
        <v>44178</v>
      </c>
      <c r="L20" s="41"/>
    </row>
    <row r="21" spans="1:10" ht="21.75" customHeight="1">
      <c r="A21" s="22">
        <v>39070</v>
      </c>
      <c r="B21" s="13" t="s">
        <v>20</v>
      </c>
      <c r="C21" s="14">
        <v>1500000000</v>
      </c>
      <c r="D21" s="16">
        <v>1500000000</v>
      </c>
      <c r="E21" s="16">
        <v>1315813000</v>
      </c>
      <c r="F21" s="17">
        <f t="shared" si="2"/>
        <v>184187000</v>
      </c>
      <c r="G21" s="18">
        <v>0.1</v>
      </c>
      <c r="H21" s="23">
        <v>0.093692</v>
      </c>
      <c r="I21" s="20">
        <f t="shared" si="3"/>
        <v>722</v>
      </c>
      <c r="J21" s="21">
        <v>44184</v>
      </c>
    </row>
    <row r="22" spans="1:10" ht="21.75" customHeight="1">
      <c r="A22" s="22">
        <v>40591</v>
      </c>
      <c r="B22" s="13" t="s">
        <v>21</v>
      </c>
      <c r="C22" s="14">
        <v>35000000000</v>
      </c>
      <c r="D22" s="15">
        <f>16947000000+3000000000+1310000000+6000000000+4500000000</f>
        <v>31757000000</v>
      </c>
      <c r="E22" s="16">
        <f>6500000000+2500000000+1000000000+1000000000+1000000000</f>
        <v>12000000000</v>
      </c>
      <c r="F22" s="17">
        <f t="shared" si="2"/>
        <v>19757000000</v>
      </c>
      <c r="G22" s="18">
        <v>0.12</v>
      </c>
      <c r="H22" s="23">
        <v>0.160906693222655</v>
      </c>
      <c r="I22" s="20">
        <f t="shared" si="3"/>
        <v>782</v>
      </c>
      <c r="J22" s="21">
        <v>44244</v>
      </c>
    </row>
    <row r="23" spans="1:10" ht="21.75" customHeight="1">
      <c r="A23" s="22">
        <v>38797</v>
      </c>
      <c r="B23" s="13" t="s">
        <v>22</v>
      </c>
      <c r="C23" s="14">
        <v>1500000000</v>
      </c>
      <c r="D23" s="15">
        <v>1500000000</v>
      </c>
      <c r="E23" s="16">
        <v>1491703000</v>
      </c>
      <c r="F23" s="17">
        <f t="shared" si="2"/>
        <v>8297000</v>
      </c>
      <c r="G23" s="18">
        <v>0.1</v>
      </c>
      <c r="H23" s="23">
        <v>0.086602</v>
      </c>
      <c r="I23" s="20">
        <f t="shared" si="3"/>
        <v>814</v>
      </c>
      <c r="J23" s="21">
        <v>44276</v>
      </c>
    </row>
    <row r="24" spans="1:10" ht="21.75" customHeight="1">
      <c r="A24" s="12">
        <v>42854</v>
      </c>
      <c r="B24" s="13" t="s">
        <v>27</v>
      </c>
      <c r="C24" s="14">
        <v>200000000000</v>
      </c>
      <c r="D24" s="15">
        <f>10000000000+1873000000+5000000000+910000000+3495000000+3500000000+2827000000+8000000000+1220000000+22000000+4690000000</f>
        <v>41537000000</v>
      </c>
      <c r="E24" s="16"/>
      <c r="F24" s="17">
        <f t="shared" si="2"/>
        <v>41537000000</v>
      </c>
      <c r="G24" s="18">
        <v>0.09</v>
      </c>
      <c r="H24" s="19">
        <v>0.0872811198449575</v>
      </c>
      <c r="I24" s="20">
        <f t="shared" si="3"/>
        <v>1218</v>
      </c>
      <c r="J24" s="21">
        <v>44680</v>
      </c>
    </row>
    <row r="25" spans="1:12" ht="21.75" customHeight="1">
      <c r="A25" s="22">
        <v>41576</v>
      </c>
      <c r="B25" s="13" t="s">
        <v>23</v>
      </c>
      <c r="C25" s="14">
        <v>50000000000</v>
      </c>
      <c r="D25" s="15">
        <f>2000000000+3000000000+4000000000+2000000000+1625000000+2000000000+3000000000</f>
        <v>17625000000</v>
      </c>
      <c r="E25" s="16">
        <f>1500000000+1000000000+500000000</f>
        <v>3000000000</v>
      </c>
      <c r="F25" s="17">
        <f t="shared" si="2"/>
        <v>14625000000</v>
      </c>
      <c r="G25" s="18">
        <v>0.1</v>
      </c>
      <c r="H25" s="23">
        <v>0.12460533333333335</v>
      </c>
      <c r="I25" s="20">
        <f t="shared" si="3"/>
        <v>1766</v>
      </c>
      <c r="J25" s="21">
        <v>45228</v>
      </c>
      <c r="L25" s="41"/>
    </row>
    <row r="26" spans="1:10" ht="21.75" customHeight="1">
      <c r="A26" s="22">
        <v>42306</v>
      </c>
      <c r="B26" s="13" t="s">
        <v>14</v>
      </c>
      <c r="C26" s="14">
        <v>50000000000</v>
      </c>
      <c r="D26" s="15">
        <f>4000000000+2488000000+3000000000+5000000000+5000000000+6000000000+2500000000+4000000000+5000000000+787200000+4799000000</f>
        <v>42574200000</v>
      </c>
      <c r="E26" s="16"/>
      <c r="F26" s="17">
        <f t="shared" si="2"/>
        <v>42574200000</v>
      </c>
      <c r="G26" s="18">
        <v>0.11</v>
      </c>
      <c r="H26" s="19">
        <v>0.135040287859784</v>
      </c>
      <c r="I26" s="20">
        <f t="shared" si="3"/>
        <v>2497</v>
      </c>
      <c r="J26" s="21">
        <v>45959</v>
      </c>
    </row>
    <row r="27" spans="1:10" ht="21.75" customHeight="1">
      <c r="A27" s="12">
        <v>39485</v>
      </c>
      <c r="B27" s="13" t="s">
        <v>24</v>
      </c>
      <c r="C27" s="14">
        <v>80000000000</v>
      </c>
      <c r="D27" s="16">
        <v>32120090000</v>
      </c>
      <c r="E27" s="16">
        <f>5250000000+750000000+1500000000+750000000+750000000+3000000000+1000000000+430000000</f>
        <v>13430000000</v>
      </c>
      <c r="F27" s="17">
        <f t="shared" si="2"/>
        <v>18690090000</v>
      </c>
      <c r="G27" s="18">
        <v>0.11</v>
      </c>
      <c r="H27" s="23">
        <v>0.15303683487612954</v>
      </c>
      <c r="I27" s="20">
        <f t="shared" si="3"/>
        <v>3328</v>
      </c>
      <c r="J27" s="21">
        <v>46790</v>
      </c>
    </row>
    <row r="28" spans="1:12" ht="21.75" customHeight="1" thickBot="1">
      <c r="A28" s="22">
        <v>40956</v>
      </c>
      <c r="B28" s="13" t="s">
        <v>15</v>
      </c>
      <c r="C28" s="14">
        <v>80000000000</v>
      </c>
      <c r="D28" s="15">
        <f>10000000000+12500000000+5000000000+5000000000+5000000000+5000000000+2000000000+3000000000+4000000000+2000000000+4000000000+5000000000+5000000000+2000000000</f>
        <v>69500000000</v>
      </c>
      <c r="E28" s="16">
        <f>1000000000+1000000000+1000000000+3000000000+3000000000+3000000000+1000000000+2000000000+2500000000+2000000000+2000000000+2000000000+2000000000+2000000000+2000000000</f>
        <v>29500000000</v>
      </c>
      <c r="F28" s="17">
        <f t="shared" si="2"/>
        <v>40000000000</v>
      </c>
      <c r="G28" s="18">
        <v>0.13</v>
      </c>
      <c r="H28" s="19">
        <v>0.168834575</v>
      </c>
      <c r="I28" s="20">
        <f t="shared" si="3"/>
        <v>4799</v>
      </c>
      <c r="J28" s="21">
        <v>48261</v>
      </c>
      <c r="L28" s="24"/>
    </row>
    <row r="29" spans="1:10" ht="21.75" customHeight="1" thickBot="1">
      <c r="A29" s="25"/>
      <c r="B29" s="26"/>
      <c r="C29" s="26"/>
      <c r="D29" s="27"/>
      <c r="E29" s="27"/>
      <c r="F29" s="28">
        <f>SUM(F17:F28)</f>
        <v>258677942000</v>
      </c>
      <c r="G29" s="30"/>
      <c r="H29" s="30"/>
      <c r="I29" s="42"/>
      <c r="J29" s="32"/>
    </row>
    <row r="30" spans="1:12" ht="21.75" customHeight="1">
      <c r="A30" s="33"/>
      <c r="B30" s="33"/>
      <c r="C30" s="33"/>
      <c r="D30" s="34"/>
      <c r="E30" s="34"/>
      <c r="F30" s="35"/>
      <c r="G30" s="36"/>
      <c r="H30" s="37"/>
      <c r="I30" s="33"/>
      <c r="J30" s="38"/>
      <c r="L30" s="24"/>
    </row>
    <row r="31" spans="1:10" ht="21.75" customHeight="1">
      <c r="A31" s="69" t="s">
        <v>0</v>
      </c>
      <c r="B31" s="69"/>
      <c r="C31" s="69"/>
      <c r="D31" s="69"/>
      <c r="E31" s="69"/>
      <c r="F31" s="69"/>
      <c r="G31" s="69"/>
      <c r="H31" s="69"/>
      <c r="I31" s="43"/>
      <c r="J31" s="38"/>
    </row>
    <row r="32" spans="1:10" ht="21.75" customHeight="1" thickBot="1">
      <c r="A32" s="44"/>
      <c r="B32" s="44"/>
      <c r="C32" s="44"/>
      <c r="D32" s="44"/>
      <c r="E32" s="44"/>
      <c r="F32" s="44"/>
      <c r="G32" s="44"/>
      <c r="H32" s="44"/>
      <c r="I32" s="44"/>
      <c r="J32" s="38"/>
    </row>
    <row r="33" spans="1:10" ht="35.25" thickBot="1">
      <c r="A33" s="6" t="s">
        <v>9</v>
      </c>
      <c r="B33" s="7" t="s">
        <v>25</v>
      </c>
      <c r="C33" s="8" t="s">
        <v>7</v>
      </c>
      <c r="D33" s="8" t="s">
        <v>1</v>
      </c>
      <c r="E33" s="9" t="s">
        <v>2</v>
      </c>
      <c r="F33" s="9" t="s">
        <v>3</v>
      </c>
      <c r="G33" s="10" t="s">
        <v>10</v>
      </c>
      <c r="H33" s="11" t="s">
        <v>4</v>
      </c>
      <c r="J33" s="38"/>
    </row>
    <row r="34" spans="1:9" ht="20.25" customHeight="1">
      <c r="A34" s="56">
        <v>43115</v>
      </c>
      <c r="B34" s="13" t="s">
        <v>30</v>
      </c>
      <c r="C34" s="45">
        <f>1130000000+10000+1200000000+1180000000+1040000000+1200000000+50000</f>
        <v>5750060000</v>
      </c>
      <c r="D34" s="45"/>
      <c r="E34" s="55">
        <f aca="true" t="shared" si="4" ref="E34:E45">+C34-D34</f>
        <v>5750060000</v>
      </c>
      <c r="F34" s="46">
        <v>0.0612140521838033</v>
      </c>
      <c r="G34" s="20">
        <f aca="true" t="shared" si="5" ref="G34:G45">H34-$J$4</f>
        <v>17</v>
      </c>
      <c r="H34" s="57">
        <v>43479</v>
      </c>
      <c r="I34" s="24"/>
    </row>
    <row r="35" spans="1:9" ht="20.25" customHeight="1">
      <c r="A35" s="56">
        <v>43136</v>
      </c>
      <c r="B35" s="13" t="s">
        <v>31</v>
      </c>
      <c r="C35" s="45">
        <f>1000000000+180000000+1200000000</f>
        <v>2380000000</v>
      </c>
      <c r="D35" s="45"/>
      <c r="E35" s="55">
        <f t="shared" si="4"/>
        <v>2380000000</v>
      </c>
      <c r="F35" s="46">
        <v>0.061782050420168065</v>
      </c>
      <c r="G35" s="20">
        <f t="shared" si="5"/>
        <v>38</v>
      </c>
      <c r="H35" s="57">
        <v>43500</v>
      </c>
      <c r="I35" s="24"/>
    </row>
    <row r="36" spans="1:9" ht="20.25" customHeight="1">
      <c r="A36" s="56">
        <v>43164</v>
      </c>
      <c r="B36" s="13" t="s">
        <v>32</v>
      </c>
      <c r="C36" s="45">
        <f>1190000000+1170000000+1160000000</f>
        <v>3520000000</v>
      </c>
      <c r="D36" s="45"/>
      <c r="E36" s="55">
        <f t="shared" si="4"/>
        <v>3520000000</v>
      </c>
      <c r="F36" s="46">
        <v>0.061390676136363634</v>
      </c>
      <c r="G36" s="20">
        <f t="shared" si="5"/>
        <v>66</v>
      </c>
      <c r="H36" s="57">
        <v>43528</v>
      </c>
      <c r="I36" s="24"/>
    </row>
    <row r="37" spans="1:9" ht="20.25" customHeight="1">
      <c r="A37" s="56">
        <v>43199</v>
      </c>
      <c r="B37" s="13" t="s">
        <v>33</v>
      </c>
      <c r="C37" s="45">
        <v>2320000000</v>
      </c>
      <c r="D37" s="45"/>
      <c r="E37" s="55">
        <f t="shared" si="4"/>
        <v>2320000000</v>
      </c>
      <c r="F37" s="46">
        <v>0.061702</v>
      </c>
      <c r="G37" s="20">
        <f t="shared" si="5"/>
        <v>101</v>
      </c>
      <c r="H37" s="57">
        <v>43563</v>
      </c>
      <c r="I37" s="24"/>
    </row>
    <row r="38" spans="1:9" ht="20.25" customHeight="1">
      <c r="A38" s="56">
        <v>43227</v>
      </c>
      <c r="B38" s="13" t="s">
        <v>34</v>
      </c>
      <c r="C38" s="45">
        <f>1200000000+1100000000+1200000000</f>
        <v>3500000000</v>
      </c>
      <c r="D38" s="45"/>
      <c r="E38" s="55">
        <f t="shared" si="4"/>
        <v>3500000000</v>
      </c>
      <c r="F38" s="46">
        <v>0.061800742857142855</v>
      </c>
      <c r="G38" s="20">
        <f t="shared" si="5"/>
        <v>129</v>
      </c>
      <c r="H38" s="57">
        <v>43591</v>
      </c>
      <c r="I38" s="24"/>
    </row>
    <row r="39" spans="1:9" ht="20.25" customHeight="1">
      <c r="A39" s="67">
        <v>43255</v>
      </c>
      <c r="B39" s="13" t="s">
        <v>36</v>
      </c>
      <c r="C39" s="48">
        <f>1180000000+1160000000</f>
        <v>2340000000</v>
      </c>
      <c r="D39" s="48"/>
      <c r="E39" s="55">
        <f t="shared" si="4"/>
        <v>2340000000</v>
      </c>
      <c r="F39" s="49">
        <v>0.06176210256410256</v>
      </c>
      <c r="G39" s="50">
        <f t="shared" si="5"/>
        <v>157</v>
      </c>
      <c r="H39" s="54">
        <v>43619</v>
      </c>
      <c r="I39" s="24"/>
    </row>
    <row r="40" spans="1:9" ht="20.25" customHeight="1">
      <c r="A40" s="56">
        <v>43283</v>
      </c>
      <c r="B40" s="13" t="s">
        <v>37</v>
      </c>
      <c r="C40" s="45">
        <f>1100000000+1200000000</f>
        <v>2300000000</v>
      </c>
      <c r="D40" s="45"/>
      <c r="E40" s="55">
        <f t="shared" si="4"/>
        <v>2300000000</v>
      </c>
      <c r="F40" s="46">
        <v>0.062114</v>
      </c>
      <c r="G40" s="20">
        <f t="shared" si="5"/>
        <v>185</v>
      </c>
      <c r="H40" s="57">
        <v>43647</v>
      </c>
      <c r="I40" s="24"/>
    </row>
    <row r="41" spans="1:9" ht="20.25" customHeight="1">
      <c r="A41" s="56">
        <v>43318</v>
      </c>
      <c r="B41" s="13" t="s">
        <v>38</v>
      </c>
      <c r="C41" s="45">
        <f>1140000000+1161200000</f>
        <v>2301200000</v>
      </c>
      <c r="D41" s="45"/>
      <c r="E41" s="55">
        <f t="shared" si="4"/>
        <v>2301200000</v>
      </c>
      <c r="F41" s="46">
        <v>0.06198698880584042</v>
      </c>
      <c r="G41" s="20">
        <f t="shared" si="5"/>
        <v>220</v>
      </c>
      <c r="H41" s="57">
        <v>43682</v>
      </c>
      <c r="I41" s="24"/>
    </row>
    <row r="42" spans="1:9" ht="20.25" customHeight="1">
      <c r="A42" s="56">
        <v>43346</v>
      </c>
      <c r="B42" s="13" t="s">
        <v>39</v>
      </c>
      <c r="C42" s="45">
        <f>1170000000</f>
        <v>1170000000</v>
      </c>
      <c r="D42" s="45"/>
      <c r="E42" s="55">
        <f t="shared" si="4"/>
        <v>1170000000</v>
      </c>
      <c r="F42" s="46">
        <v>0.062795</v>
      </c>
      <c r="G42" s="20">
        <f t="shared" si="5"/>
        <v>248</v>
      </c>
      <c r="H42" s="57">
        <v>43710</v>
      </c>
      <c r="I42" s="24"/>
    </row>
    <row r="43" spans="1:9" ht="20.25" customHeight="1">
      <c r="A43" s="56">
        <v>43374</v>
      </c>
      <c r="B43" s="13" t="s">
        <v>40</v>
      </c>
      <c r="C43" s="45">
        <v>1160000000</v>
      </c>
      <c r="D43" s="45"/>
      <c r="E43" s="55">
        <f t="shared" si="4"/>
        <v>1160000000</v>
      </c>
      <c r="F43" s="46">
        <v>0.062557</v>
      </c>
      <c r="G43" s="20">
        <f t="shared" si="5"/>
        <v>276</v>
      </c>
      <c r="H43" s="57">
        <v>43738</v>
      </c>
      <c r="I43" s="24"/>
    </row>
    <row r="44" spans="1:9" ht="20.25" customHeight="1">
      <c r="A44" s="56">
        <v>43409</v>
      </c>
      <c r="B44" s="13" t="s">
        <v>41</v>
      </c>
      <c r="C44" s="45">
        <v>1140000000</v>
      </c>
      <c r="D44" s="45"/>
      <c r="E44" s="55">
        <f t="shared" si="4"/>
        <v>1140000000</v>
      </c>
      <c r="F44" s="46">
        <v>0.062258</v>
      </c>
      <c r="G44" s="20">
        <f t="shared" si="5"/>
        <v>311</v>
      </c>
      <c r="H44" s="57">
        <v>43773</v>
      </c>
      <c r="I44" s="24"/>
    </row>
    <row r="45" spans="1:9" ht="20.25" customHeight="1" thickBot="1">
      <c r="A45" s="56">
        <v>43437</v>
      </c>
      <c r="B45" s="13" t="s">
        <v>42</v>
      </c>
      <c r="C45" s="45">
        <v>1200000000</v>
      </c>
      <c r="D45" s="45"/>
      <c r="E45" s="55">
        <f t="shared" si="4"/>
        <v>1200000000</v>
      </c>
      <c r="F45" s="46">
        <v>0.062269</v>
      </c>
      <c r="G45" s="20">
        <f t="shared" si="5"/>
        <v>339</v>
      </c>
      <c r="H45" s="57">
        <v>43801</v>
      </c>
      <c r="I45" s="24"/>
    </row>
    <row r="46" spans="1:10" ht="32.25" customHeight="1" thickBot="1">
      <c r="A46" s="25"/>
      <c r="B46" s="64"/>
      <c r="C46" s="27"/>
      <c r="D46" s="27"/>
      <c r="E46" s="65">
        <f>SUM(E34:E45)</f>
        <v>29081260000</v>
      </c>
      <c r="F46" s="66">
        <f>SUMPRODUCT(F34:F45,E34:E45)/E46</f>
        <v>0.06176951554162371</v>
      </c>
      <c r="G46" s="42"/>
      <c r="H46" s="32"/>
      <c r="I46" s="38"/>
      <c r="J46" s="38"/>
    </row>
    <row r="47" spans="5:6" ht="13.5">
      <c r="E47" s="47"/>
      <c r="F47" s="47"/>
    </row>
    <row r="48" spans="5:6" ht="13.5">
      <c r="E48" s="24">
        <f>+'[1]2018'!$I$1150*1000000</f>
        <v>588111488000</v>
      </c>
      <c r="F48" s="24"/>
    </row>
    <row r="49" spans="5:6" ht="13.5">
      <c r="E49" s="24">
        <f>+E46+F29+F12</f>
        <v>582369812000</v>
      </c>
      <c r="F49" s="24">
        <f>+E48-E49</f>
        <v>5741676000</v>
      </c>
    </row>
  </sheetData>
  <sheetProtection/>
  <mergeCells count="4">
    <mergeCell ref="A1:J1"/>
    <mergeCell ref="A31:H31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2018-02-27T11:58:28Z</cp:lastPrinted>
  <dcterms:created xsi:type="dcterms:W3CDTF">2010-12-10T08:12:32Z</dcterms:created>
  <dcterms:modified xsi:type="dcterms:W3CDTF">2019-01-18T12:18:24Z</dcterms:modified>
  <cp:category/>
  <cp:version/>
  <cp:contentType/>
  <cp:contentStatus/>
</cp:coreProperties>
</file>