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obligation\Share\229\Ashxatanqain\Ջանջուղազյան և Զարգարյան\Հրապարակման\2024\"/>
    </mc:Choice>
  </mc:AlternateContent>
  <bookViews>
    <workbookView xWindow="0" yWindow="0" windowWidth="28800" windowHeight="12330" firstSheet="2" activeTab="4"/>
  </bookViews>
  <sheets>
    <sheet name="հունվար" sheetId="25" state="hidden" r:id="rId1"/>
    <sheet name="փետրվար" sheetId="26" r:id="rId2"/>
    <sheet name="մարտ" sheetId="28" r:id="rId3"/>
    <sheet name="բյուջետային երաշխիք" sheetId="3" r:id="rId4"/>
    <sheet name="Government Guarantees" sheetId="20" r:id="rId5"/>
  </sheets>
  <externalReferences>
    <externalReference r:id="rId6"/>
    <externalReference r:id="rId7"/>
  </externalReferences>
  <definedNames>
    <definedName name="aaa" localSheetId="1">#REF!</definedName>
    <definedName name="aaa">#REF!</definedName>
    <definedName name="aaaa">#REF!</definedName>
    <definedName name="Aghh">#REF!</definedName>
    <definedName name="ap8il1">#REF!</definedName>
    <definedName name="april">#REF!</definedName>
    <definedName name="fgd">#REF!</definedName>
    <definedName name="fhyj">#REF!</definedName>
    <definedName name="ggg" localSheetId="1">#REF!</definedName>
    <definedName name="ggg">#REF!</definedName>
    <definedName name="hjf" localSheetId="1">#REF!</definedName>
    <definedName name="hjf">#REF!</definedName>
    <definedName name="hunvar" localSheetId="1">#REF!</definedName>
    <definedName name="hunvar">#REF!</definedName>
    <definedName name="kkk" localSheetId="1">#REF!</definedName>
    <definedName name="kkk">#REF!</definedName>
    <definedName name="Lus" localSheetId="1">#REF!</definedName>
    <definedName name="Lus">#REF!</definedName>
    <definedName name="Lusine" localSheetId="1">#REF!</definedName>
    <definedName name="Lusine">#REF!</definedName>
    <definedName name="Lusine1" localSheetId="1">#REF!</definedName>
    <definedName name="Lusine1">#REF!</definedName>
    <definedName name="petrvar">#REF!</definedName>
    <definedName name="print" localSheetId="4">#REF!</definedName>
    <definedName name="print">#REF!</definedName>
    <definedName name="rrr" localSheetId="1">#REF!</definedName>
    <definedName name="rrr">#REF!</definedName>
    <definedName name="Table1" localSheetId="1">#REF!</definedName>
    <definedName name="Table1">#REF!</definedName>
    <definedName name="Table2" localSheetId="1">#REF!</definedName>
    <definedName name="Table2">#REF!</definedName>
    <definedName name="uuu" localSheetId="1">#REF!</definedName>
    <definedName name="uuu">#REF!</definedName>
    <definedName name="vlom" localSheetId="4">[1]VTB!#REF!</definedName>
    <definedName name="vlom">[1]VTB!#REF!</definedName>
    <definedName name="ամառ" localSheetId="1">#REF!</definedName>
    <definedName name="ամառ">#REF!</definedName>
    <definedName name="ապրիլ" localSheetId="1">#REF!</definedName>
    <definedName name="ապրիլ">#REF!</definedName>
    <definedName name="եեեե">#REF!</definedName>
    <definedName name="լուսինե">#REF!</definedName>
    <definedName name="հուլիս" localSheetId="1">#REF!</definedName>
    <definedName name="հուլիս">#REF!</definedName>
    <definedName name="հունիս" localSheetId="1">#REF!</definedName>
    <definedName name="հունիս">#REF!</definedName>
    <definedName name="հֆգյֆ" localSheetId="1">#REF!</definedName>
    <definedName name="հֆգյֆ">#REF!</definedName>
    <definedName name="ձմեռ">#REF!</definedName>
    <definedName name="յգհյհ">#REF!</definedName>
    <definedName name="նոյեմբեր4" localSheetId="1">#REF!</definedName>
    <definedName name="նոյեմբեր4">#REF!</definedName>
    <definedName name="սեպտեմբեր" localSheetId="1">#REF!</definedName>
    <definedName name="սեպտեմբեր">#REF!</definedName>
    <definedName name="օգօստօս" localSheetId="1">#REF!</definedName>
    <definedName name="օգօստօ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4" i="28" l="1"/>
  <c r="N144" i="28"/>
  <c r="P143" i="28"/>
  <c r="P142" i="28"/>
  <c r="P141" i="28"/>
  <c r="P140" i="28"/>
  <c r="P139" i="28"/>
  <c r="S138" i="28"/>
  <c r="R138" i="28"/>
  <c r="Q138" i="28"/>
  <c r="O138" i="28"/>
  <c r="N138" i="28"/>
  <c r="S137" i="28"/>
  <c r="R137" i="28"/>
  <c r="Q137" i="28"/>
  <c r="O137" i="28"/>
  <c r="N137" i="28"/>
  <c r="S135" i="28"/>
  <c r="R135" i="28"/>
  <c r="Q135" i="28"/>
  <c r="O135" i="28"/>
  <c r="N135" i="28"/>
  <c r="S134" i="28"/>
  <c r="S133" i="28"/>
  <c r="R133" i="28"/>
  <c r="R132" i="28"/>
  <c r="Q132" i="28"/>
  <c r="S132" i="28" s="1"/>
  <c r="S131" i="28"/>
  <c r="R131" i="28"/>
  <c r="S130" i="28"/>
  <c r="R130" i="28"/>
  <c r="S129" i="28"/>
  <c r="R129" i="28"/>
  <c r="R128" i="28"/>
  <c r="Q128" i="28"/>
  <c r="S128" i="28" s="1"/>
  <c r="R127" i="28"/>
  <c r="S127" i="28" s="1"/>
  <c r="Q127" i="28"/>
  <c r="R126" i="28"/>
  <c r="O126" i="28"/>
  <c r="S126" i="28" s="1"/>
  <c r="S125" i="28"/>
  <c r="R125" i="28"/>
  <c r="R124" i="28"/>
  <c r="Q124" i="28"/>
  <c r="O124" i="28"/>
  <c r="N124" i="28"/>
  <c r="R123" i="28"/>
  <c r="Q123" i="28"/>
  <c r="S123" i="28" s="1"/>
  <c r="S122" i="28"/>
  <c r="R122" i="28"/>
  <c r="R121" i="28"/>
  <c r="Q121" i="28"/>
  <c r="O121" i="28"/>
  <c r="S120" i="28"/>
  <c r="R120" i="28"/>
  <c r="S119" i="28"/>
  <c r="R119" i="28"/>
  <c r="S118" i="28"/>
  <c r="O117" i="28"/>
  <c r="N117" i="28"/>
  <c r="R116" i="28"/>
  <c r="Q116" i="28"/>
  <c r="S116" i="28" s="1"/>
  <c r="S115" i="28"/>
  <c r="R114" i="28"/>
  <c r="Q114" i="28"/>
  <c r="S114" i="28" s="1"/>
  <c r="S113" i="28"/>
  <c r="R113" i="28"/>
  <c r="Q113" i="28"/>
  <c r="O113" i="28"/>
  <c r="N113" i="28"/>
  <c r="S112" i="28"/>
  <c r="R112" i="28"/>
  <c r="Q112" i="28"/>
  <c r="O112" i="28"/>
  <c r="N112" i="28"/>
  <c r="S110" i="28"/>
  <c r="R110" i="28"/>
  <c r="Q110" i="28"/>
  <c r="O110" i="28"/>
  <c r="N110" i="28"/>
  <c r="R109" i="28"/>
  <c r="Q109" i="28"/>
  <c r="O109" i="28"/>
  <c r="O111" i="28" s="1"/>
  <c r="N109" i="28"/>
  <c r="S108" i="28"/>
  <c r="S107" i="28"/>
  <c r="R107" i="28"/>
  <c r="S106" i="28"/>
  <c r="R106" i="28"/>
  <c r="S105" i="28"/>
  <c r="R105" i="28"/>
  <c r="Q104" i="28"/>
  <c r="N104" i="28"/>
  <c r="S103" i="28"/>
  <c r="R103" i="28"/>
  <c r="Q103" i="28"/>
  <c r="O103" i="28"/>
  <c r="N103" i="28"/>
  <c r="O102" i="28"/>
  <c r="N102" i="28"/>
  <c r="N101" i="28"/>
  <c r="S99" i="28"/>
  <c r="R99" i="28"/>
  <c r="S98" i="28"/>
  <c r="R98" i="28"/>
  <c r="S97" i="28"/>
  <c r="S96" i="28"/>
  <c r="R95" i="28"/>
  <c r="Q95" i="28"/>
  <c r="S95" i="28" s="1"/>
  <c r="S94" i="28"/>
  <c r="S93" i="28"/>
  <c r="S92" i="28"/>
  <c r="R91" i="28"/>
  <c r="N91" i="28"/>
  <c r="N100" i="28" s="1"/>
  <c r="R90" i="28"/>
  <c r="Q90" i="28"/>
  <c r="S90" i="28" s="1"/>
  <c r="S89" i="28"/>
  <c r="R89" i="28"/>
  <c r="R88" i="28"/>
  <c r="Q88" i="28"/>
  <c r="S88" i="28" s="1"/>
  <c r="R87" i="28"/>
  <c r="Q87" i="28"/>
  <c r="S87" i="28" s="1"/>
  <c r="R86" i="28"/>
  <c r="Q86" i="28"/>
  <c r="S86" i="28" s="1"/>
  <c r="R85" i="28"/>
  <c r="Q85" i="28"/>
  <c r="S85" i="28" s="1"/>
  <c r="S84" i="28"/>
  <c r="S83" i="28"/>
  <c r="O82" i="28"/>
  <c r="S82" i="28" s="1"/>
  <c r="S81" i="28"/>
  <c r="S80" i="28"/>
  <c r="S79" i="28"/>
  <c r="R78" i="28"/>
  <c r="Q78" i="28"/>
  <c r="R77" i="28"/>
  <c r="Q77" i="28"/>
  <c r="S77" i="28" s="1"/>
  <c r="O76" i="28"/>
  <c r="O101" i="28" s="1"/>
  <c r="O75" i="28"/>
  <c r="S75" i="28" s="1"/>
  <c r="S74" i="28"/>
  <c r="R73" i="28"/>
  <c r="R100" i="28" s="1"/>
  <c r="Q73" i="28"/>
  <c r="Q100" i="28" s="1"/>
  <c r="S72" i="28"/>
  <c r="R72" i="28"/>
  <c r="S71" i="28"/>
  <c r="R71" i="28"/>
  <c r="Q71" i="28"/>
  <c r="O71" i="28"/>
  <c r="N71" i="28"/>
  <c r="O70" i="28"/>
  <c r="N70" i="28"/>
  <c r="O69" i="28"/>
  <c r="N69" i="28"/>
  <c r="O68" i="28"/>
  <c r="N68" i="28"/>
  <c r="S67" i="28"/>
  <c r="R67" i="28"/>
  <c r="R66" i="28"/>
  <c r="Q66" i="28"/>
  <c r="S66" i="28" s="1"/>
  <c r="R65" i="28"/>
  <c r="Q65" i="28"/>
  <c r="S65" i="28" s="1"/>
  <c r="R64" i="28"/>
  <c r="Q64" i="28"/>
  <c r="S64" i="28" s="1"/>
  <c r="R63" i="28"/>
  <c r="R68" i="28" s="1"/>
  <c r="Q63" i="28"/>
  <c r="S63" i="28" s="1"/>
  <c r="J63" i="28"/>
  <c r="S62" i="28"/>
  <c r="S61" i="28"/>
  <c r="R61" i="28"/>
  <c r="Q61" i="28"/>
  <c r="S60" i="28"/>
  <c r="R60" i="28"/>
  <c r="Q60" i="28"/>
  <c r="O60" i="28"/>
  <c r="N60" i="28"/>
  <c r="S59" i="28"/>
  <c r="R59" i="28"/>
  <c r="Q59" i="28"/>
  <c r="O59" i="28"/>
  <c r="N59" i="28"/>
  <c r="O58" i="28"/>
  <c r="N58" i="28"/>
  <c r="O57" i="28"/>
  <c r="N57" i="28"/>
  <c r="R56" i="28"/>
  <c r="Q56" i="28"/>
  <c r="S56" i="28" s="1"/>
  <c r="J56" i="28"/>
  <c r="S55" i="28"/>
  <c r="R55" i="28"/>
  <c r="Q55" i="28"/>
  <c r="J55" i="28"/>
  <c r="Q54" i="28"/>
  <c r="S54" i="28" s="1"/>
  <c r="J54" i="28"/>
  <c r="R53" i="28"/>
  <c r="Q53" i="28"/>
  <c r="S52" i="28"/>
  <c r="R52" i="28"/>
  <c r="Q52" i="28"/>
  <c r="G52" i="28"/>
  <c r="J52" i="28" s="1"/>
  <c r="R51" i="28"/>
  <c r="Q51" i="28"/>
  <c r="J51" i="28"/>
  <c r="O50" i="28"/>
  <c r="O143" i="28" s="1"/>
  <c r="N50" i="28"/>
  <c r="N143" i="28" s="1"/>
  <c r="O49" i="28"/>
  <c r="N49" i="28"/>
  <c r="O48" i="28"/>
  <c r="N47" i="28"/>
  <c r="N46" i="28"/>
  <c r="S45" i="28"/>
  <c r="R45" i="28"/>
  <c r="S44" i="28"/>
  <c r="R44" i="28"/>
  <c r="R43" i="28"/>
  <c r="Q43" i="28"/>
  <c r="O43" i="28"/>
  <c r="O47" i="28" s="1"/>
  <c r="R42" i="28"/>
  <c r="Q42" i="28"/>
  <c r="S42" i="28" s="1"/>
  <c r="R41" i="28"/>
  <c r="Q41" i="28"/>
  <c r="S41" i="28" s="1"/>
  <c r="R40" i="28"/>
  <c r="Q40" i="28"/>
  <c r="S40" i="28" s="1"/>
  <c r="R39" i="28"/>
  <c r="Q39" i="28"/>
  <c r="S39" i="28" s="1"/>
  <c r="R38" i="28"/>
  <c r="Q38" i="28"/>
  <c r="S38" i="28" s="1"/>
  <c r="R37" i="28"/>
  <c r="Q37" i="28"/>
  <c r="S37" i="28" s="1"/>
  <c r="J37" i="28"/>
  <c r="Q36" i="28"/>
  <c r="S36" i="28" s="1"/>
  <c r="J36" i="28"/>
  <c r="Q35" i="28"/>
  <c r="S35" i="28" s="1"/>
  <c r="J35" i="28"/>
  <c r="Q34" i="28"/>
  <c r="S34" i="28" s="1"/>
  <c r="J34" i="28"/>
  <c r="R33" i="28"/>
  <c r="Q33" i="28"/>
  <c r="S33" i="28" s="1"/>
  <c r="I33" i="28"/>
  <c r="G33" i="28"/>
  <c r="F33" i="28"/>
  <c r="R32" i="28"/>
  <c r="Q32" i="28"/>
  <c r="S32" i="28" s="1"/>
  <c r="R31" i="28"/>
  <c r="Q31" i="28"/>
  <c r="S31" i="28" s="1"/>
  <c r="J31" i="28"/>
  <c r="R30" i="28"/>
  <c r="Q30" i="28"/>
  <c r="S30" i="28" s="1"/>
  <c r="R29" i="28"/>
  <c r="Q29" i="28"/>
  <c r="S29" i="28" s="1"/>
  <c r="I29" i="28"/>
  <c r="G29" i="28"/>
  <c r="J29" i="28" s="1"/>
  <c r="F29" i="28"/>
  <c r="R28" i="28"/>
  <c r="Q28" i="28"/>
  <c r="S28" i="28" s="1"/>
  <c r="R27" i="28"/>
  <c r="Q27" i="28"/>
  <c r="S27" i="28" s="1"/>
  <c r="J27" i="28"/>
  <c r="R26" i="28"/>
  <c r="Q26" i="28"/>
  <c r="S26" i="28" s="1"/>
  <c r="R25" i="28"/>
  <c r="Q25" i="28"/>
  <c r="S25" i="28" s="1"/>
  <c r="R24" i="28"/>
  <c r="Q24" i="28"/>
  <c r="S24" i="28" s="1"/>
  <c r="R23" i="28"/>
  <c r="R50" i="28" s="1"/>
  <c r="R143" i="28" s="1"/>
  <c r="Q23" i="28"/>
  <c r="Q50" i="28" s="1"/>
  <c r="Q143" i="28" s="1"/>
  <c r="G23" i="28"/>
  <c r="J23" i="28" s="1"/>
  <c r="S22" i="28"/>
  <c r="R22" i="28"/>
  <c r="S21" i="28"/>
  <c r="R21" i="28"/>
  <c r="S20" i="28"/>
  <c r="R20" i="28"/>
  <c r="S19" i="28"/>
  <c r="R19" i="28"/>
  <c r="J19" i="28"/>
  <c r="S18" i="28"/>
  <c r="R18" i="28"/>
  <c r="S17" i="28"/>
  <c r="R17" i="28"/>
  <c r="N17" i="28"/>
  <c r="J17" i="28"/>
  <c r="R16" i="28"/>
  <c r="Q16" i="28"/>
  <c r="S16" i="28" s="1"/>
  <c r="R15" i="28"/>
  <c r="Q15" i="28"/>
  <c r="S15" i="28" s="1"/>
  <c r="N15" i="28"/>
  <c r="G15" i="28"/>
  <c r="J15" i="28" s="1"/>
  <c r="S14" i="28"/>
  <c r="S13" i="28"/>
  <c r="R13" i="28"/>
  <c r="S12" i="28"/>
  <c r="S11" i="28"/>
  <c r="S10" i="28"/>
  <c r="R10" i="28"/>
  <c r="R9" i="28"/>
  <c r="O9" i="28"/>
  <c r="J9" i="28"/>
  <c r="S8" i="28"/>
  <c r="R8" i="28"/>
  <c r="J8" i="28"/>
  <c r="R7" i="28"/>
  <c r="Q7" i="28"/>
  <c r="S7" i="28" s="1"/>
  <c r="J7" i="28"/>
  <c r="R6" i="28"/>
  <c r="Q6" i="28"/>
  <c r="S6" i="28" s="1"/>
  <c r="J6" i="28"/>
  <c r="Q5" i="28"/>
  <c r="O5" i="28"/>
  <c r="J5" i="28"/>
  <c r="Q58" i="28" l="1"/>
  <c r="R69" i="28"/>
  <c r="Q111" i="28"/>
  <c r="S109" i="28"/>
  <c r="S121" i="28"/>
  <c r="R57" i="28"/>
  <c r="R102" i="28"/>
  <c r="S73" i="28"/>
  <c r="O136" i="28"/>
  <c r="O140" i="28" s="1"/>
  <c r="O46" i="28"/>
  <c r="Q102" i="28"/>
  <c r="O91" i="28"/>
  <c r="S91" i="28" s="1"/>
  <c r="O141" i="28"/>
  <c r="N48" i="28"/>
  <c r="N141" i="28" s="1"/>
  <c r="R48" i="28"/>
  <c r="R49" i="28"/>
  <c r="R142" i="28" s="1"/>
  <c r="S43" i="28"/>
  <c r="S47" i="28" s="1"/>
  <c r="Q69" i="28"/>
  <c r="N111" i="28"/>
  <c r="N136" i="28"/>
  <c r="S144" i="28"/>
  <c r="S117" i="28"/>
  <c r="J33" i="28"/>
  <c r="R47" i="28"/>
  <c r="S23" i="28"/>
  <c r="N142" i="28"/>
  <c r="R58" i="28"/>
  <c r="S69" i="28"/>
  <c r="Q70" i="28"/>
  <c r="Q101" i="28"/>
  <c r="R111" i="28"/>
  <c r="S5" i="28"/>
  <c r="R46" i="28"/>
  <c r="R139" i="28" s="1"/>
  <c r="Q47" i="28"/>
  <c r="Q49" i="28"/>
  <c r="Q142" i="28" s="1"/>
  <c r="O142" i="28"/>
  <c r="Q57" i="28"/>
  <c r="S53" i="28"/>
  <c r="R70" i="28"/>
  <c r="R101" i="28"/>
  <c r="S78" i="28"/>
  <c r="S104" i="28"/>
  <c r="R136" i="28"/>
  <c r="S124" i="28"/>
  <c r="S70" i="28"/>
  <c r="S48" i="28"/>
  <c r="S68" i="28"/>
  <c r="S49" i="28"/>
  <c r="S142" i="28" s="1"/>
  <c r="N139" i="28"/>
  <c r="S58" i="28"/>
  <c r="Q68" i="28"/>
  <c r="Q48" i="28"/>
  <c r="Q141" i="28" s="1"/>
  <c r="Q46" i="28"/>
  <c r="S9" i="28"/>
  <c r="S51" i="28"/>
  <c r="Q136" i="28"/>
  <c r="S76" i="28"/>
  <c r="R141" i="28" l="1"/>
  <c r="N140" i="28"/>
  <c r="S136" i="28"/>
  <c r="R140" i="28"/>
  <c r="S100" i="28"/>
  <c r="O100" i="28"/>
  <c r="O139" i="28" s="1"/>
  <c r="S50" i="28"/>
  <c r="S143" i="28" s="1"/>
  <c r="S46" i="28"/>
  <c r="Q140" i="28"/>
  <c r="Q139" i="28"/>
  <c r="S102" i="28"/>
  <c r="S141" i="28" s="1"/>
  <c r="S111" i="28"/>
  <c r="S57" i="28"/>
  <c r="S101" i="28"/>
  <c r="S140" i="28" l="1"/>
  <c r="S139" i="28"/>
  <c r="E18" i="3" l="1"/>
  <c r="H4" i="20" l="1"/>
  <c r="I144" i="26" l="1"/>
  <c r="H144" i="26"/>
  <c r="J143" i="26"/>
  <c r="J142" i="26"/>
  <c r="J141" i="26"/>
  <c r="J140" i="26"/>
  <c r="J139" i="26"/>
  <c r="M138" i="26"/>
  <c r="L138" i="26"/>
  <c r="K138" i="26"/>
  <c r="I138" i="26"/>
  <c r="H138" i="26"/>
  <c r="M137" i="26"/>
  <c r="L137" i="26"/>
  <c r="K137" i="26"/>
  <c r="I137" i="26"/>
  <c r="H137" i="26"/>
  <c r="M135" i="26"/>
  <c r="L135" i="26"/>
  <c r="K135" i="26"/>
  <c r="I135" i="26"/>
  <c r="H135" i="26"/>
  <c r="M134" i="26"/>
  <c r="M133" i="26"/>
  <c r="L133" i="26"/>
  <c r="L132" i="26"/>
  <c r="K132" i="26"/>
  <c r="M132" i="26" s="1"/>
  <c r="M131" i="26"/>
  <c r="L131" i="26"/>
  <c r="M130" i="26"/>
  <c r="L130" i="26"/>
  <c r="M129" i="26"/>
  <c r="L129" i="26"/>
  <c r="L128" i="26"/>
  <c r="K128" i="26"/>
  <c r="M128" i="26" s="1"/>
  <c r="L127" i="26"/>
  <c r="M127" i="26" s="1"/>
  <c r="K127" i="26"/>
  <c r="L126" i="26"/>
  <c r="I126" i="26"/>
  <c r="M125" i="26"/>
  <c r="L125" i="26"/>
  <c r="L124" i="26"/>
  <c r="K124" i="26"/>
  <c r="I124" i="26"/>
  <c r="H124" i="26"/>
  <c r="L123" i="26"/>
  <c r="K123" i="26"/>
  <c r="M123" i="26" s="1"/>
  <c r="M122" i="26"/>
  <c r="L122" i="26"/>
  <c r="L121" i="26"/>
  <c r="K121" i="26"/>
  <c r="I121" i="26"/>
  <c r="M120" i="26"/>
  <c r="L120" i="26"/>
  <c r="M119" i="26"/>
  <c r="L119" i="26"/>
  <c r="M118" i="26"/>
  <c r="I117" i="26"/>
  <c r="M117" i="26" s="1"/>
  <c r="H117" i="26"/>
  <c r="L116" i="26"/>
  <c r="K116" i="26"/>
  <c r="M116" i="26" s="1"/>
  <c r="M115" i="26"/>
  <c r="L114" i="26"/>
  <c r="K114" i="26"/>
  <c r="M114" i="26" s="1"/>
  <c r="M113" i="26"/>
  <c r="L113" i="26"/>
  <c r="K113" i="26"/>
  <c r="I113" i="26"/>
  <c r="H113" i="26"/>
  <c r="M112" i="26"/>
  <c r="L112" i="26"/>
  <c r="K112" i="26"/>
  <c r="I112" i="26"/>
  <c r="H112" i="26"/>
  <c r="M110" i="26"/>
  <c r="L110" i="26"/>
  <c r="K110" i="26"/>
  <c r="I110" i="26"/>
  <c r="H110" i="26"/>
  <c r="L109" i="26"/>
  <c r="K109" i="26"/>
  <c r="I109" i="26"/>
  <c r="I111" i="26" s="1"/>
  <c r="H109" i="26"/>
  <c r="M108" i="26"/>
  <c r="M107" i="26"/>
  <c r="L107" i="26"/>
  <c r="M106" i="26"/>
  <c r="L106" i="26"/>
  <c r="M105" i="26"/>
  <c r="L105" i="26"/>
  <c r="K104" i="26"/>
  <c r="M104" i="26" s="1"/>
  <c r="H104" i="26"/>
  <c r="M103" i="26"/>
  <c r="L103" i="26"/>
  <c r="K103" i="26"/>
  <c r="I103" i="26"/>
  <c r="H103" i="26"/>
  <c r="I102" i="26"/>
  <c r="H102" i="26"/>
  <c r="H101" i="26"/>
  <c r="M99" i="26"/>
  <c r="L99" i="26"/>
  <c r="M98" i="26"/>
  <c r="L98" i="26"/>
  <c r="M97" i="26"/>
  <c r="M96" i="26"/>
  <c r="L95" i="26"/>
  <c r="K95" i="26"/>
  <c r="M95" i="26" s="1"/>
  <c r="M94" i="26"/>
  <c r="M93" i="26"/>
  <c r="M92" i="26"/>
  <c r="L91" i="26"/>
  <c r="H91" i="26"/>
  <c r="H100" i="26" s="1"/>
  <c r="L90" i="26"/>
  <c r="K90" i="26"/>
  <c r="M90" i="26" s="1"/>
  <c r="M89" i="26"/>
  <c r="L89" i="26"/>
  <c r="L88" i="26"/>
  <c r="K88" i="26"/>
  <c r="M88" i="26" s="1"/>
  <c r="L87" i="26"/>
  <c r="K87" i="26"/>
  <c r="M87" i="26" s="1"/>
  <c r="L86" i="26"/>
  <c r="K86" i="26"/>
  <c r="M85" i="26"/>
  <c r="L85" i="26"/>
  <c r="K85" i="26"/>
  <c r="M84" i="26"/>
  <c r="M83" i="26"/>
  <c r="I82" i="26"/>
  <c r="M82" i="26" s="1"/>
  <c r="M81" i="26"/>
  <c r="M80" i="26"/>
  <c r="M79" i="26"/>
  <c r="L78" i="26"/>
  <c r="K78" i="26"/>
  <c r="M78" i="26" s="1"/>
  <c r="L77" i="26"/>
  <c r="K77" i="26"/>
  <c r="M77" i="26" s="1"/>
  <c r="I76" i="26"/>
  <c r="I75" i="26"/>
  <c r="M75" i="26" s="1"/>
  <c r="M74" i="26"/>
  <c r="L73" i="26"/>
  <c r="K73" i="26"/>
  <c r="K100" i="26" s="1"/>
  <c r="M72" i="26"/>
  <c r="L72" i="26"/>
  <c r="M71" i="26"/>
  <c r="L71" i="26"/>
  <c r="K71" i="26"/>
  <c r="I71" i="26"/>
  <c r="H71" i="26"/>
  <c r="I70" i="26"/>
  <c r="H70" i="26"/>
  <c r="I69" i="26"/>
  <c r="H69" i="26"/>
  <c r="I68" i="26"/>
  <c r="H68" i="26"/>
  <c r="M67" i="26"/>
  <c r="L67" i="26"/>
  <c r="L66" i="26"/>
  <c r="K66" i="26"/>
  <c r="M66" i="26" s="1"/>
  <c r="L65" i="26"/>
  <c r="K65" i="26"/>
  <c r="M65" i="26" s="1"/>
  <c r="L64" i="26"/>
  <c r="K64" i="26"/>
  <c r="M64" i="26" s="1"/>
  <c r="L63" i="26"/>
  <c r="L68" i="26" s="1"/>
  <c r="K63" i="26"/>
  <c r="M62" i="26"/>
  <c r="L61" i="26"/>
  <c r="K61" i="26"/>
  <c r="M60" i="26"/>
  <c r="L60" i="26"/>
  <c r="K60" i="26"/>
  <c r="I60" i="26"/>
  <c r="H60" i="26"/>
  <c r="M59" i="26"/>
  <c r="L59" i="26"/>
  <c r="K59" i="26"/>
  <c r="I59" i="26"/>
  <c r="H59" i="26"/>
  <c r="I58" i="26"/>
  <c r="H58" i="26"/>
  <c r="I57" i="26"/>
  <c r="H57" i="26"/>
  <c r="L56" i="26"/>
  <c r="K56" i="26"/>
  <c r="M56" i="26" s="1"/>
  <c r="L55" i="26"/>
  <c r="K55" i="26"/>
  <c r="M55" i="26" s="1"/>
  <c r="K54" i="26"/>
  <c r="M54" i="26" s="1"/>
  <c r="L53" i="26"/>
  <c r="K53" i="26"/>
  <c r="M53" i="26" s="1"/>
  <c r="L52" i="26"/>
  <c r="K52" i="26"/>
  <c r="M52" i="26" s="1"/>
  <c r="L51" i="26"/>
  <c r="K51" i="26"/>
  <c r="I50" i="26"/>
  <c r="I143" i="26" s="1"/>
  <c r="H50" i="26"/>
  <c r="H143" i="26" s="1"/>
  <c r="I49" i="26"/>
  <c r="H49" i="26"/>
  <c r="I48" i="26"/>
  <c r="H47" i="26"/>
  <c r="H46" i="26"/>
  <c r="M45" i="26"/>
  <c r="L45" i="26"/>
  <c r="M44" i="26"/>
  <c r="L44" i="26"/>
  <c r="L43" i="26"/>
  <c r="K43" i="26"/>
  <c r="I43" i="26"/>
  <c r="I47" i="26" s="1"/>
  <c r="L42" i="26"/>
  <c r="K42" i="26"/>
  <c r="M42" i="26" s="1"/>
  <c r="L41" i="26"/>
  <c r="K41" i="26"/>
  <c r="M41" i="26" s="1"/>
  <c r="L40" i="26"/>
  <c r="K40" i="26"/>
  <c r="M40" i="26" s="1"/>
  <c r="L39" i="26"/>
  <c r="K39" i="26"/>
  <c r="M39" i="26" s="1"/>
  <c r="L38" i="26"/>
  <c r="K38" i="26"/>
  <c r="M38" i="26" s="1"/>
  <c r="L37" i="26"/>
  <c r="K37" i="26"/>
  <c r="M37" i="26" s="1"/>
  <c r="K36" i="26"/>
  <c r="M36" i="26" s="1"/>
  <c r="K35" i="26"/>
  <c r="M35" i="26" s="1"/>
  <c r="K34" i="26"/>
  <c r="M34" i="26" s="1"/>
  <c r="L33" i="26"/>
  <c r="K33" i="26"/>
  <c r="M33" i="26" s="1"/>
  <c r="L32" i="26"/>
  <c r="K32" i="26"/>
  <c r="M32" i="26" s="1"/>
  <c r="L31" i="26"/>
  <c r="K31" i="26"/>
  <c r="M31" i="26" s="1"/>
  <c r="L30" i="26"/>
  <c r="K30" i="26"/>
  <c r="M30" i="26" s="1"/>
  <c r="L29" i="26"/>
  <c r="K29" i="26"/>
  <c r="L28" i="26"/>
  <c r="K28" i="26"/>
  <c r="M28" i="26" s="1"/>
  <c r="L27" i="26"/>
  <c r="K27" i="26"/>
  <c r="M27" i="26" s="1"/>
  <c r="L26" i="26"/>
  <c r="K26" i="26"/>
  <c r="M26" i="26" s="1"/>
  <c r="L25" i="26"/>
  <c r="K25" i="26"/>
  <c r="M25" i="26" s="1"/>
  <c r="L24" i="26"/>
  <c r="K24" i="26"/>
  <c r="M24" i="26" s="1"/>
  <c r="L23" i="26"/>
  <c r="L50" i="26" s="1"/>
  <c r="L143" i="26" s="1"/>
  <c r="K23" i="26"/>
  <c r="M23" i="26" s="1"/>
  <c r="M22" i="26"/>
  <c r="L22" i="26"/>
  <c r="M21" i="26"/>
  <c r="L21" i="26"/>
  <c r="M20" i="26"/>
  <c r="L20" i="26"/>
  <c r="M19" i="26"/>
  <c r="L19" i="26"/>
  <c r="M18" i="26"/>
  <c r="L18" i="26"/>
  <c r="M17" i="26"/>
  <c r="L17" i="26"/>
  <c r="H17" i="26"/>
  <c r="L16" i="26"/>
  <c r="K16" i="26"/>
  <c r="L15" i="26"/>
  <c r="K15" i="26"/>
  <c r="M15" i="26" s="1"/>
  <c r="H15" i="26"/>
  <c r="M14" i="26"/>
  <c r="M13" i="26"/>
  <c r="L13" i="26"/>
  <c r="M12" i="26"/>
  <c r="M11" i="26"/>
  <c r="M10" i="26"/>
  <c r="L10" i="26"/>
  <c r="L9" i="26"/>
  <c r="I9" i="26"/>
  <c r="M9" i="26" s="1"/>
  <c r="M8" i="26"/>
  <c r="L8" i="26"/>
  <c r="L7" i="26"/>
  <c r="K7" i="26"/>
  <c r="M7" i="26" s="1"/>
  <c r="L6" i="26"/>
  <c r="K6" i="26"/>
  <c r="M6" i="26" s="1"/>
  <c r="K5" i="26"/>
  <c r="I5" i="26"/>
  <c r="K49" i="26" l="1"/>
  <c r="K142" i="26" s="1"/>
  <c r="K69" i="26"/>
  <c r="H136" i="26"/>
  <c r="K46" i="26"/>
  <c r="L69" i="26"/>
  <c r="K70" i="26"/>
  <c r="M43" i="26"/>
  <c r="M61" i="26"/>
  <c r="L100" i="26"/>
  <c r="M109" i="26"/>
  <c r="M121" i="26"/>
  <c r="M124" i="26"/>
  <c r="I91" i="26"/>
  <c r="M91" i="26" s="1"/>
  <c r="K47" i="26"/>
  <c r="L58" i="26"/>
  <c r="I101" i="26"/>
  <c r="H48" i="26"/>
  <c r="H141" i="26" s="1"/>
  <c r="L70" i="26"/>
  <c r="M73" i="26"/>
  <c r="K101" i="26"/>
  <c r="H111" i="26"/>
  <c r="M5" i="26"/>
  <c r="M46" i="26" s="1"/>
  <c r="M48" i="26"/>
  <c r="L111" i="26"/>
  <c r="M16" i="26"/>
  <c r="L102" i="26"/>
  <c r="M144" i="26"/>
  <c r="M29" i="26"/>
  <c r="M49" i="26" s="1"/>
  <c r="M142" i="26" s="1"/>
  <c r="H142" i="26"/>
  <c r="L57" i="26"/>
  <c r="M50" i="26"/>
  <c r="M143" i="26" s="1"/>
  <c r="I46" i="26"/>
  <c r="K57" i="26"/>
  <c r="M51" i="26"/>
  <c r="M126" i="26"/>
  <c r="I136" i="26"/>
  <c r="I140" i="26" s="1"/>
  <c r="I142" i="26"/>
  <c r="M69" i="26"/>
  <c r="H140" i="26"/>
  <c r="I141" i="26"/>
  <c r="M70" i="26"/>
  <c r="K102" i="26"/>
  <c r="M86" i="26"/>
  <c r="L101" i="26"/>
  <c r="M111" i="26"/>
  <c r="L136" i="26"/>
  <c r="L46" i="26"/>
  <c r="K50" i="26"/>
  <c r="K143" i="26" s="1"/>
  <c r="L47" i="26"/>
  <c r="L48" i="26"/>
  <c r="L49" i="26"/>
  <c r="L142" i="26" s="1"/>
  <c r="H139" i="26"/>
  <c r="K48" i="26"/>
  <c r="K58" i="26"/>
  <c r="M63" i="26"/>
  <c r="K68" i="26"/>
  <c r="K139" i="26" s="1"/>
  <c r="M58" i="26"/>
  <c r="K111" i="26"/>
  <c r="I100" i="26"/>
  <c r="K136" i="26"/>
  <c r="M76" i="26"/>
  <c r="M47" i="26" l="1"/>
  <c r="K141" i="26"/>
  <c r="M100" i="26"/>
  <c r="I139" i="26"/>
  <c r="L139" i="26"/>
  <c r="L141" i="26"/>
  <c r="K140" i="26"/>
  <c r="M68" i="26"/>
  <c r="L140" i="26"/>
  <c r="M102" i="26"/>
  <c r="M141" i="26" s="1"/>
  <c r="M136" i="26"/>
  <c r="M57" i="26"/>
  <c r="M101" i="26"/>
  <c r="M140" i="26" l="1"/>
  <c r="M139" i="26"/>
  <c r="O148" i="25" l="1"/>
  <c r="N148" i="25"/>
  <c r="P147" i="25"/>
  <c r="P146" i="25"/>
  <c r="P145" i="25"/>
  <c r="P144" i="25"/>
  <c r="P143" i="25"/>
  <c r="S142" i="25"/>
  <c r="R142" i="25"/>
  <c r="Q142" i="25"/>
  <c r="O142" i="25"/>
  <c r="N142" i="25"/>
  <c r="S141" i="25"/>
  <c r="R141" i="25"/>
  <c r="Q141" i="25"/>
  <c r="O141" i="25"/>
  <c r="N141" i="25"/>
  <c r="S139" i="25"/>
  <c r="R139" i="25"/>
  <c r="Q139" i="25"/>
  <c r="O139" i="25"/>
  <c r="N139" i="25"/>
  <c r="R138" i="25"/>
  <c r="Q138" i="25"/>
  <c r="S138" i="25" s="1"/>
  <c r="R137" i="25"/>
  <c r="Q137" i="25"/>
  <c r="S137" i="25" s="1"/>
  <c r="S136" i="25"/>
  <c r="R136" i="25"/>
  <c r="S135" i="25"/>
  <c r="S134" i="25"/>
  <c r="S133" i="25"/>
  <c r="R133" i="25"/>
  <c r="R132" i="25"/>
  <c r="Q132" i="25"/>
  <c r="S132" i="25" s="1"/>
  <c r="S131" i="25"/>
  <c r="R131" i="25"/>
  <c r="S130" i="25"/>
  <c r="R130" i="25"/>
  <c r="S129" i="25"/>
  <c r="R129" i="25"/>
  <c r="R128" i="25"/>
  <c r="Q128" i="25"/>
  <c r="S128" i="25" s="1"/>
  <c r="R127" i="25"/>
  <c r="S127" i="25" s="1"/>
  <c r="Q127" i="25"/>
  <c r="R126" i="25"/>
  <c r="O126" i="25"/>
  <c r="S126" i="25" s="1"/>
  <c r="S125" i="25"/>
  <c r="R125" i="25"/>
  <c r="R124" i="25"/>
  <c r="Q124" i="25"/>
  <c r="S124" i="25" s="1"/>
  <c r="O124" i="25"/>
  <c r="N124" i="25"/>
  <c r="R123" i="25"/>
  <c r="Q123" i="25"/>
  <c r="S123" i="25" s="1"/>
  <c r="S122" i="25"/>
  <c r="R122" i="25"/>
  <c r="R121" i="25"/>
  <c r="Q121" i="25"/>
  <c r="O121" i="25"/>
  <c r="S120" i="25"/>
  <c r="R120" i="25"/>
  <c r="S119" i="25"/>
  <c r="R119" i="25"/>
  <c r="S118" i="25"/>
  <c r="O117" i="25"/>
  <c r="S117" i="25" s="1"/>
  <c r="N117" i="25"/>
  <c r="R116" i="25"/>
  <c r="Q116" i="25"/>
  <c r="S116" i="25" s="1"/>
  <c r="S115" i="25"/>
  <c r="R114" i="25"/>
  <c r="Q114" i="25"/>
  <c r="S114" i="25" s="1"/>
  <c r="S113" i="25"/>
  <c r="R113" i="25"/>
  <c r="Q113" i="25"/>
  <c r="O113" i="25"/>
  <c r="N113" i="25"/>
  <c r="S112" i="25"/>
  <c r="R112" i="25"/>
  <c r="Q112" i="25"/>
  <c r="O112" i="25"/>
  <c r="N112" i="25"/>
  <c r="S110" i="25"/>
  <c r="R110" i="25"/>
  <c r="Q110" i="25"/>
  <c r="O110" i="25"/>
  <c r="N110" i="25"/>
  <c r="S109" i="25"/>
  <c r="R109" i="25"/>
  <c r="S108" i="25"/>
  <c r="R108" i="25"/>
  <c r="R107" i="25"/>
  <c r="Q107" i="25"/>
  <c r="S107" i="25" s="1"/>
  <c r="S106" i="25"/>
  <c r="R105" i="25"/>
  <c r="Q105" i="25"/>
  <c r="O105" i="25"/>
  <c r="N105" i="25"/>
  <c r="Q104" i="25"/>
  <c r="N104" i="25"/>
  <c r="S103" i="25"/>
  <c r="R103" i="25"/>
  <c r="Q103" i="25"/>
  <c r="O103" i="25"/>
  <c r="N103" i="25"/>
  <c r="O102" i="25"/>
  <c r="N102" i="25"/>
  <c r="N101" i="25"/>
  <c r="S99" i="25"/>
  <c r="R99" i="25"/>
  <c r="S98" i="25"/>
  <c r="R98" i="25"/>
  <c r="S97" i="25"/>
  <c r="R96" i="25"/>
  <c r="Q96" i="25"/>
  <c r="S96" i="25" s="1"/>
  <c r="S95" i="25"/>
  <c r="S94" i="25"/>
  <c r="S93" i="25"/>
  <c r="R92" i="25"/>
  <c r="N92" i="25"/>
  <c r="O92" i="25" s="1"/>
  <c r="S92" i="25" s="1"/>
  <c r="R91" i="25"/>
  <c r="Q91" i="25"/>
  <c r="R90" i="25"/>
  <c r="R89" i="25"/>
  <c r="Q89" i="25"/>
  <c r="S89" i="25" s="1"/>
  <c r="R88" i="25"/>
  <c r="Q88" i="25"/>
  <c r="S88" i="25" s="1"/>
  <c r="R87" i="25"/>
  <c r="Q87" i="25"/>
  <c r="S87" i="25" s="1"/>
  <c r="R86" i="25"/>
  <c r="Q86" i="25"/>
  <c r="S86" i="25" s="1"/>
  <c r="S85" i="25"/>
  <c r="S84" i="25"/>
  <c r="O83" i="25"/>
  <c r="S83" i="25" s="1"/>
  <c r="S82" i="25"/>
  <c r="S81" i="25"/>
  <c r="S80" i="25"/>
  <c r="R79" i="25"/>
  <c r="Q79" i="25"/>
  <c r="R78" i="25"/>
  <c r="Q78" i="25"/>
  <c r="Q101" i="25" s="1"/>
  <c r="O77" i="25"/>
  <c r="S77" i="25" s="1"/>
  <c r="O76" i="25"/>
  <c r="S76" i="25" s="1"/>
  <c r="S75" i="25"/>
  <c r="R74" i="25"/>
  <c r="R100" i="25" s="1"/>
  <c r="Q74" i="25"/>
  <c r="Q100" i="25" s="1"/>
  <c r="S73" i="25"/>
  <c r="R73" i="25"/>
  <c r="S72" i="25"/>
  <c r="R72" i="25"/>
  <c r="Q72" i="25"/>
  <c r="O72" i="25"/>
  <c r="N72" i="25"/>
  <c r="O71" i="25"/>
  <c r="N71" i="25"/>
  <c r="O70" i="25"/>
  <c r="N70" i="25"/>
  <c r="O69" i="25"/>
  <c r="N69" i="25"/>
  <c r="S68" i="25"/>
  <c r="R68" i="25"/>
  <c r="R67" i="25"/>
  <c r="Q67" i="25"/>
  <c r="S67" i="25" s="1"/>
  <c r="R66" i="25"/>
  <c r="Q66" i="25"/>
  <c r="S66" i="25" s="1"/>
  <c r="R65" i="25"/>
  <c r="R71" i="25" s="1"/>
  <c r="Q65" i="25"/>
  <c r="S65" i="25" s="1"/>
  <c r="R64" i="25"/>
  <c r="R69" i="25" s="1"/>
  <c r="Q64" i="25"/>
  <c r="J64" i="25"/>
  <c r="S63" i="25"/>
  <c r="R62" i="25"/>
  <c r="Q62" i="25"/>
  <c r="S62" i="25" s="1"/>
  <c r="S61" i="25"/>
  <c r="R61" i="25"/>
  <c r="Q61" i="25"/>
  <c r="O61" i="25"/>
  <c r="N61" i="25"/>
  <c r="S60" i="25"/>
  <c r="R60" i="25"/>
  <c r="Q60" i="25"/>
  <c r="O60" i="25"/>
  <c r="N60" i="25"/>
  <c r="O59" i="25"/>
  <c r="N59" i="25"/>
  <c r="O58" i="25"/>
  <c r="N58" i="25"/>
  <c r="R57" i="25"/>
  <c r="Q57" i="25"/>
  <c r="S57" i="25" s="1"/>
  <c r="J57" i="25"/>
  <c r="R56" i="25"/>
  <c r="Q56" i="25"/>
  <c r="S56" i="25" s="1"/>
  <c r="J56" i="25"/>
  <c r="Q55" i="25"/>
  <c r="S55" i="25" s="1"/>
  <c r="J55" i="25"/>
  <c r="R54" i="25"/>
  <c r="Q54" i="25"/>
  <c r="S54" i="25" s="1"/>
  <c r="R53" i="25"/>
  <c r="Q53" i="25"/>
  <c r="S53" i="25" s="1"/>
  <c r="G53" i="25"/>
  <c r="J53" i="25" s="1"/>
  <c r="R52" i="25"/>
  <c r="Q52" i="25"/>
  <c r="J52" i="25"/>
  <c r="O51" i="25"/>
  <c r="O147" i="25" s="1"/>
  <c r="N51" i="25"/>
  <c r="N147" i="25" s="1"/>
  <c r="O50" i="25"/>
  <c r="N50" i="25"/>
  <c r="O49" i="25"/>
  <c r="N48" i="25"/>
  <c r="N47" i="25"/>
  <c r="S46" i="25"/>
  <c r="R46" i="25"/>
  <c r="S45" i="25"/>
  <c r="R45" i="25"/>
  <c r="R44" i="25"/>
  <c r="Q44" i="25"/>
  <c r="O44" i="25"/>
  <c r="S44" i="25" s="1"/>
  <c r="R43" i="25"/>
  <c r="Q43" i="25"/>
  <c r="S43" i="25" s="1"/>
  <c r="S42" i="25"/>
  <c r="R41" i="25"/>
  <c r="Q41" i="25"/>
  <c r="S41" i="25" s="1"/>
  <c r="R40" i="25"/>
  <c r="Q40" i="25"/>
  <c r="S40" i="25" s="1"/>
  <c r="R39" i="25"/>
  <c r="Q39" i="25"/>
  <c r="S39" i="25" s="1"/>
  <c r="R38" i="25"/>
  <c r="Q38" i="25"/>
  <c r="S38" i="25" s="1"/>
  <c r="R37" i="25"/>
  <c r="Q37" i="25"/>
  <c r="S37" i="25" s="1"/>
  <c r="J37" i="25"/>
  <c r="Q36" i="25"/>
  <c r="S36" i="25" s="1"/>
  <c r="J36" i="25"/>
  <c r="Q35" i="25"/>
  <c r="S35" i="25" s="1"/>
  <c r="J35" i="25"/>
  <c r="Q34" i="25"/>
  <c r="S34" i="25" s="1"/>
  <c r="J34" i="25"/>
  <c r="R33" i="25"/>
  <c r="Q33" i="25"/>
  <c r="S33" i="25" s="1"/>
  <c r="I33" i="25"/>
  <c r="G33" i="25"/>
  <c r="F33" i="25"/>
  <c r="R32" i="25"/>
  <c r="Q32" i="25"/>
  <c r="S32" i="25" s="1"/>
  <c r="R31" i="25"/>
  <c r="Q31" i="25"/>
  <c r="S31" i="25" s="1"/>
  <c r="J31" i="25"/>
  <c r="R30" i="25"/>
  <c r="Q30" i="25"/>
  <c r="S30" i="25" s="1"/>
  <c r="S29" i="25"/>
  <c r="R29" i="25"/>
  <c r="Q29" i="25"/>
  <c r="I29" i="25"/>
  <c r="G29" i="25"/>
  <c r="F29" i="25"/>
  <c r="R28" i="25"/>
  <c r="Q28" i="25"/>
  <c r="S28" i="25" s="1"/>
  <c r="R27" i="25"/>
  <c r="Q27" i="25"/>
  <c r="S27" i="25" s="1"/>
  <c r="J27" i="25"/>
  <c r="R26" i="25"/>
  <c r="Q26" i="25"/>
  <c r="S26" i="25" s="1"/>
  <c r="R25" i="25"/>
  <c r="Q25" i="25"/>
  <c r="S25" i="25" s="1"/>
  <c r="R24" i="25"/>
  <c r="Q24" i="25"/>
  <c r="S24" i="25" s="1"/>
  <c r="R23" i="25"/>
  <c r="R51" i="25" s="1"/>
  <c r="R147" i="25" s="1"/>
  <c r="Q23" i="25"/>
  <c r="G23" i="25"/>
  <c r="J23" i="25" s="1"/>
  <c r="S22" i="25"/>
  <c r="R22" i="25"/>
  <c r="S21" i="25"/>
  <c r="R21" i="25"/>
  <c r="S20" i="25"/>
  <c r="R20" i="25"/>
  <c r="S19" i="25"/>
  <c r="R19" i="25"/>
  <c r="J19" i="25"/>
  <c r="S18" i="25"/>
  <c r="S17" i="25"/>
  <c r="N17" i="25"/>
  <c r="J17" i="25"/>
  <c r="R16" i="25"/>
  <c r="Q16" i="25"/>
  <c r="R15" i="25"/>
  <c r="Q15" i="25"/>
  <c r="S15" i="25" s="1"/>
  <c r="N15" i="25"/>
  <c r="G15" i="25"/>
  <c r="J15" i="25" s="1"/>
  <c r="S14" i="25"/>
  <c r="S13" i="25"/>
  <c r="R13" i="25"/>
  <c r="S12" i="25"/>
  <c r="S11" i="25"/>
  <c r="S10" i="25"/>
  <c r="R10" i="25"/>
  <c r="R9" i="25"/>
  <c r="O9" i="25"/>
  <c r="S9" i="25" s="1"/>
  <c r="J9" i="25"/>
  <c r="S8" i="25"/>
  <c r="R8" i="25"/>
  <c r="J8" i="25"/>
  <c r="R7" i="25"/>
  <c r="Q7" i="25"/>
  <c r="S7" i="25" s="1"/>
  <c r="J7" i="25"/>
  <c r="R6" i="25"/>
  <c r="Q6" i="25"/>
  <c r="S6" i="25" s="1"/>
  <c r="J6" i="25"/>
  <c r="Q5" i="25"/>
  <c r="O5" i="25"/>
  <c r="J5" i="25"/>
  <c r="N111" i="25" l="1"/>
  <c r="R58" i="25"/>
  <c r="N49" i="25"/>
  <c r="Q102" i="25"/>
  <c r="J33" i="25"/>
  <c r="R101" i="25"/>
  <c r="S5" i="25"/>
  <c r="R50" i="25"/>
  <c r="R146" i="25" s="1"/>
  <c r="S105" i="25"/>
  <c r="N146" i="25"/>
  <c r="S50" i="25"/>
  <c r="S146" i="25" s="1"/>
  <c r="O48" i="25"/>
  <c r="R59" i="25"/>
  <c r="S79" i="25"/>
  <c r="S102" i="25" s="1"/>
  <c r="N100" i="25"/>
  <c r="N143" i="25" s="1"/>
  <c r="R111" i="25"/>
  <c r="O111" i="25"/>
  <c r="O140" i="25"/>
  <c r="J29" i="25"/>
  <c r="Q50" i="25"/>
  <c r="Q146" i="25" s="1"/>
  <c r="Q70" i="25"/>
  <c r="Q71" i="25"/>
  <c r="S74" i="25"/>
  <c r="S78" i="25"/>
  <c r="S121" i="25"/>
  <c r="S148" i="25"/>
  <c r="R48" i="25"/>
  <c r="S16" i="25"/>
  <c r="Q48" i="25"/>
  <c r="O47" i="25"/>
  <c r="N145" i="25"/>
  <c r="O146" i="25"/>
  <c r="R70" i="25"/>
  <c r="S101" i="25"/>
  <c r="N140" i="25"/>
  <c r="N144" i="25" s="1"/>
  <c r="S70" i="25"/>
  <c r="O145" i="25"/>
  <c r="S71" i="25"/>
  <c r="Q58" i="25"/>
  <c r="S52" i="25"/>
  <c r="Q111" i="25"/>
  <c r="S104" i="25"/>
  <c r="S47" i="25"/>
  <c r="S49" i="25"/>
  <c r="Q51" i="25"/>
  <c r="Q147" i="25" s="1"/>
  <c r="S23" i="25"/>
  <c r="R140" i="25"/>
  <c r="Q47" i="25"/>
  <c r="R47" i="25"/>
  <c r="R143" i="25" s="1"/>
  <c r="R49" i="25"/>
  <c r="Q49" i="25"/>
  <c r="Q145" i="25" s="1"/>
  <c r="Q59" i="25"/>
  <c r="Q69" i="25"/>
  <c r="S64" i="25"/>
  <c r="R102" i="25"/>
  <c r="S59" i="25"/>
  <c r="O100" i="25"/>
  <c r="O101" i="25"/>
  <c r="Q140" i="25"/>
  <c r="D18" i="3"/>
  <c r="S100" i="25" l="1"/>
  <c r="O144" i="25"/>
  <c r="S145" i="25"/>
  <c r="S140" i="25"/>
  <c r="S69" i="25"/>
  <c r="S51" i="25"/>
  <c r="S147" i="25" s="1"/>
  <c r="S111" i="25"/>
  <c r="S48" i="25"/>
  <c r="S144" i="25" s="1"/>
  <c r="R145" i="25"/>
  <c r="R144" i="25"/>
  <c r="S58" i="25"/>
  <c r="S143" i="25" s="1"/>
  <c r="O143" i="25"/>
  <c r="Q143" i="25"/>
  <c r="Q144" i="25"/>
  <c r="G4" i="20"/>
</calcChain>
</file>

<file path=xl/comments1.xml><?xml version="1.0" encoding="utf-8"?>
<comments xmlns="http://schemas.openxmlformats.org/spreadsheetml/2006/main">
  <authors>
    <author>Lusine Grigoryan</author>
    <author>Armen.Manukyan</author>
    <author>Susanna Sargsyan</author>
    <author>Armen Manukyan</author>
  </authors>
  <commentList>
    <comment ref="K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K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K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N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N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37 մլն ԱՄՆ դոլար</t>
        </r>
      </text>
    </comment>
    <comment ref="N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N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K7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K7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K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K8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K8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K85" authorId="1" shapeId="0">
      <text>
        <r>
          <rPr>
            <b/>
            <sz val="8"/>
            <color indexed="81"/>
            <rFont val="Tahoma"/>
            <family val="2"/>
          </rPr>
          <t>Armen.Manukyan:</t>
        </r>
        <r>
          <rPr>
            <sz val="8"/>
            <color indexed="81"/>
            <rFont val="Tahoma"/>
            <family val="2"/>
          </rPr>
          <t xml:space="preserve">
ՀՀ կառավարության 29.01.2016թ. N 73-Ն որոշում</t>
        </r>
      </text>
    </comment>
    <comment ref="Q8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ՀՀ կառավարության 07.12.2017թ. N 1585-Ն որոշման համաձայն 163,143,274 դրամ գումարի չափով մայր գումարի նվազեցում</t>
        </r>
      </text>
    </comment>
    <comment ref="L98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L99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L104" authorId="3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O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Q10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  <comment ref="B13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«Հայաստանի Զարգացման և Ներդրումների Զարգացման կորպորացիա» ՈՒՎԿ</t>
        </r>
      </text>
    </comment>
    <comment ref="N13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 մլրդ ՀՀ դրամ գումարը ՀՀ կառավարության 2017թ.  համապատասխան որոշմամբ ուղղվել այս ծրագրի վարկավորմանը
«Հայաստանի Ներդրումների և ջակցության կորպորացիա» միանվագ մարում 20.12.2030թ.</t>
        </r>
      </text>
    </comment>
    <comment ref="O13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 մլրդ ՀՀ դրամ գումարը ՀՀ կառավարության 2017թ.  համապատասխան որոշմամբ ուղղվել այս ծրագրի վարկավորմանը</t>
        </r>
      </text>
    </comment>
    <comment ref="N13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«Հայաստանի Ներդրումների և ջակցության կորպորացիա» միանվագ մարում 30.06.2023թ.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Էլիտ</t>
        </r>
      </text>
    </comment>
  </commentList>
</comments>
</file>

<file path=xl/comments2.xml><?xml version="1.0" encoding="utf-8"?>
<comments xmlns="http://schemas.openxmlformats.org/spreadsheetml/2006/main">
  <authors>
    <author>Lusine Grigoryan</author>
    <author>Armen.Manukyan</author>
    <author>Susanna Sargsyan</author>
    <author>Armen Manukyan</author>
  </authors>
  <commentList>
    <comment ref="K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K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K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N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N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37 մլն ԱՄՆ դոլար</t>
        </r>
      </text>
    </comment>
    <comment ref="N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N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6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K7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K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K7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K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K84" authorId="1" shapeId="0">
      <text>
        <r>
          <rPr>
            <b/>
            <sz val="8"/>
            <color indexed="81"/>
            <rFont val="Tahoma"/>
            <family val="2"/>
          </rPr>
          <t>Armen.Manukyan:</t>
        </r>
        <r>
          <rPr>
            <sz val="8"/>
            <color indexed="81"/>
            <rFont val="Tahoma"/>
            <family val="2"/>
          </rPr>
          <t xml:space="preserve">
ՀՀ կառավարության 29.01.2016թ. N 73-Ն որոշում</t>
        </r>
      </text>
    </comment>
    <comment ref="Q84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ՀՀ կառավարության 07.12.2017թ. N 1585-Ն որոշման համաձայն 163,143,274 դրամ գումարի չափով մայր գումարի նվազեցում</t>
        </r>
      </text>
    </comment>
    <comment ref="L98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L99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L104" authorId="3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O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Q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</commentList>
</comments>
</file>

<file path=xl/sharedStrings.xml><?xml version="1.0" encoding="utf-8"?>
<sst xmlns="http://schemas.openxmlformats.org/spreadsheetml/2006/main" count="2448" uniqueCount="494">
  <si>
    <t xml:space="preserve">
 ՀՀ ԿԲ գերմանահայկական հիմնադրամին վարկավորում</t>
  </si>
  <si>
    <t xml:space="preserve">
Կորոնավիրուսի (COVID-19) տնտեսական հետևանքների չեզոքացման  1-ին միջոցառման շրջանակներում ՀՀ ԿԲ գերմանահայկական հինադրամին վարկավորում</t>
  </si>
  <si>
    <t>ՀՀ դրամ</t>
  </si>
  <si>
    <t xml:space="preserve"> ՀՀ էկոնոմիկայի նախարարություն</t>
  </si>
  <si>
    <t xml:space="preserve">
Կորոնավիրուսի (COVID-19) տնտեսական հետևանքների չեզոքացման  3-րդ միջոցառման շրջանակներում ՀՀ ԿԲ գերմանահայկական հիմնադրամին վարկավորում</t>
  </si>
  <si>
    <t xml:space="preserve">
Կորոնավիրուսի (COVID-19) տնտեսական հետևանքների չեզոքացման  19-րդ միջոցառման շրջանակներում իրականացվող վարկավորում</t>
  </si>
  <si>
    <t>25.12.2028թ.</t>
  </si>
  <si>
    <t xml:space="preserve">
Կորոնավիրուսի (COVID-19) տնտեսական հետևանքների չեզոքացման  2-րդ միջոցառման շրջանակներում իրականացվող վարկավորում</t>
  </si>
  <si>
    <t xml:space="preserve">   ՀՀ կառավարության 26․03․2020թ․ 356-Լ որոշում, ՀՀ կառավարության 31․03․2020թ․ 416-Լ որոշում           Գործակալական պայմանագիր 16/120520-1</t>
  </si>
  <si>
    <t>07.05.2024թ.</t>
  </si>
  <si>
    <t xml:space="preserve">      ՀՀ կառավարության 26․03․2020թ․ 356-Լ որոշում, ՀՀ կառավարության 31․03․2020թ․ 416-Լ որոշում,          Գործակալական պայմանագիր 16/220420-1      </t>
  </si>
  <si>
    <t>30.04.2024թ.</t>
  </si>
  <si>
    <t>Տ Ե Ղ Ե Կ Ա Ն Ք</t>
  </si>
  <si>
    <t>Հ/Հ</t>
  </si>
  <si>
    <t>Վարկառու</t>
  </si>
  <si>
    <t xml:space="preserve">Արտաքին պարտքի և ՀՀ պետական բյուջեի միջոցների հաշվին իրականացվող ծրագիր </t>
  </si>
  <si>
    <t>Վարկի աղբյուրը</t>
  </si>
  <si>
    <t>Արժույթը</t>
  </si>
  <si>
    <t>Ենթավարկի, բյուջետային վարկի, պայմանագրով փոխանցված պարտավորության նախատեսված գումարը</t>
  </si>
  <si>
    <t>Ենթավարկի, բյուջետային վարկի, պայմանագրով փոխանցված պարտավորության փաստացի  գումարը</t>
  </si>
  <si>
    <t>Ենթավարկի, բյուջետային վարկի տոկոսադրույքը</t>
  </si>
  <si>
    <t>Մարված վարկի հիմնական գումար</t>
  </si>
  <si>
    <t>Մարված տոկոսագումար</t>
  </si>
  <si>
    <t>Վարկի հիմնական գումարի մնացորդ</t>
  </si>
  <si>
    <t>Գրավի առարկան</t>
  </si>
  <si>
    <t>«Բարձրավոլտ էլեկտրացանցեր» ՓԲԸ</t>
  </si>
  <si>
    <t xml:space="preserve"> ««Գյումրի-2» ենթակայանի վերականգնում» I փուլ</t>
  </si>
  <si>
    <t>Գերմանիայի վերականգնվող վարկերի բանկ (KfW)</t>
  </si>
  <si>
    <t>30.06.2019թ.  - 30.06.2049թ.</t>
  </si>
  <si>
    <t>Եվրո</t>
  </si>
  <si>
    <t>0.75% և 0.25% պարտավճար</t>
  </si>
  <si>
    <t>Հասարակ մուրհաիկներ, ակտիվներ</t>
  </si>
  <si>
    <t xml:space="preserve"> ««Գյումրի-2» ենթակայանի վերականգնում» II փուլ</t>
  </si>
  <si>
    <t>30.12.2012թ. -30.06.2024թ.</t>
  </si>
  <si>
    <t>վերաֆինանսավորման դրույք + 1.25% (յուրաքանչյուր մասհանման համար սահմանված)</t>
  </si>
  <si>
    <t>Հասարակ մուրհակներ և յուրաքանչյուր տարվա դեկտեմբեր ամսվա դրությամբ ձեռք բերված ակտիվներ</t>
  </si>
  <si>
    <t>«Հոսանքահաղորդիչ համակարգի վերականգնում (Կամո և Վանաձոր-2 ենթակայաններ)»</t>
  </si>
  <si>
    <t>30.06.2009թ. - 30.12.2038թ.</t>
  </si>
  <si>
    <t xml:space="preserve">«Կովկասյան էլեկտրահաղորդման ցանց I (Հայաստան-Վրաստան հաղորդիչ գիծ/ենթակայաններ)» </t>
  </si>
  <si>
    <t>30.12.2019թ. -30.12.2029թ.</t>
  </si>
  <si>
    <t>1.85% և 0.25% պարտավճար</t>
  </si>
  <si>
    <t>30.06.2025թ. -30.12.2054թ.</t>
  </si>
  <si>
    <t>«Կովկասյան էլեկտրահաղորդման ցանց I (Հայաստան-Վրաստան հաղորդիչ գիծ/ենթակայաններ) (Փուլ 1 + Փուլ 2a)»</t>
  </si>
  <si>
    <t>Մասհանման ամսաթվից  մինչև 28 տարի (արտոնյալ ժամկետ՝ 5 տարի)</t>
  </si>
  <si>
    <t>փոփոխական</t>
  </si>
  <si>
    <t>Հասարակ մուրհակներ և յուրաքանչյուր տարվա դեկտեմբեր ամսվա դրությամբ ձեռք բերված ակտիվներ:  17.05.2005թ. կնքված գրավի պայմանագրով գրավադրված գույքը:</t>
  </si>
  <si>
    <t>«Կովկասյան էլեկտրահաղորդման ցանց III (Ծրագրի փուլ 2)» (Հայաստան-Վրաստան հաղորդիչ գիծ/ենթակայաններ)»</t>
  </si>
  <si>
    <t>30.12.2020թ. -30.12.2030թ.</t>
  </si>
  <si>
    <t>«Էլեկտրաէներգիայի մատակարարման հուսալիություն»</t>
  </si>
  <si>
    <t>Վերակառուցման և Զարգացման Միջազգային Բանկի (ՎԶՄԲ)</t>
  </si>
  <si>
    <t>15.11.2021թ. -15.05.2036թ.</t>
  </si>
  <si>
    <t>ԱՄՆ դոլար</t>
  </si>
  <si>
    <t>Հասարակ մուրհակներ</t>
  </si>
  <si>
    <t>««Էլեկտրաէներգիայի մատակարարման հուսալիություն» ծրագրի լրացուցիչ ֆինանսավորում»</t>
  </si>
  <si>
    <t>15.08.2024թ. -15.08.2039թ.</t>
  </si>
  <si>
    <t xml:space="preserve">«Էլեկտրահաղորդման ցանցի բարելավում ծրագիր» </t>
  </si>
  <si>
    <t>15.11.2039թ.</t>
  </si>
  <si>
    <t>«Երևանի ջերմաէլեկտրակենտրոն» ՓԲԸ</t>
  </si>
  <si>
    <t>«Էլեկտրաէներգիայի հաղորդման ցանցի վերակառուցում»</t>
  </si>
  <si>
    <t>Ասիական Զարգացման Բանկ (ԱԶԲ)</t>
  </si>
  <si>
    <t>15.11.2019թ. -15.05.2039թ.</t>
  </si>
  <si>
    <t>ՀՓԻ</t>
  </si>
  <si>
    <t>«Էլեկտրաէներգետիկական համակարգի օպերատոր» ՓԲԸ</t>
  </si>
  <si>
    <t xml:space="preserve">«էլեկտրահաղորդման և բաշխիչ համակարգեր»   N 3175 AM </t>
  </si>
  <si>
    <t>Զարգացման Միջազգային Ընկերակցություն (ՄԶԸ)</t>
  </si>
  <si>
    <t>05.06.2009թ. - 05.12.2033թ.</t>
  </si>
  <si>
    <t>05.12.2008թ. -05.12.2023թ.</t>
  </si>
  <si>
    <t>յուրաքանչյուր տարվա հունվարի 1-ի փոփոխական տոկոսադրույք +0.5%</t>
  </si>
  <si>
    <t>«Էլեկտրահաղորդման և բաշխիչ համակարգեր»</t>
  </si>
  <si>
    <t>Ճապոնիայի Անդրծովյան տնտեսական համագործակցության հիմնադրամ (JICA)</t>
  </si>
  <si>
    <t>10.02.2019թ. -10.02.2039թ.</t>
  </si>
  <si>
    <t>Ճապոնական իեն</t>
  </si>
  <si>
    <t>«Հայաստանի էլեկտրական ցանցեր» ՓԲԸ</t>
  </si>
  <si>
    <t>«Հայաստանի վերականգնվող էներգետիկայի և էներգախնայողության հիմնադրամ»</t>
  </si>
  <si>
    <t>«Քաղաքային ջեռուցման ծրագիր»</t>
  </si>
  <si>
    <t>10.11.2015թ. - 10.11.2045թ.</t>
  </si>
  <si>
    <t>Առանց գրավի</t>
  </si>
  <si>
    <t>«Միջազգային էներգետիկ կորպորացիա» ՓԲԸ</t>
  </si>
  <si>
    <t>«Էներգետիկայի բնագավառում անհապաղ օգնություն (Քանաքեռի հիդրոէլեկտրակայան)»</t>
  </si>
  <si>
    <t>25.11.2010թ. - 25.11.2041թ.</t>
  </si>
  <si>
    <t xml:space="preserve"> «ՔոնթուրԳլոբալ  Հիդրո Կասկադ» ՓԲԸ </t>
  </si>
  <si>
    <t xml:space="preserve">Որոտանի հիդրոէլեկտրակայանների համակարգի վերականգնման  </t>
  </si>
  <si>
    <t>30.12.2030թ.</t>
  </si>
  <si>
    <t>3.24% և 0.25% պարտավճար</t>
  </si>
  <si>
    <t>հասարակ անտոկոս մուրհակ</t>
  </si>
  <si>
    <t>30.06.2050թ.</t>
  </si>
  <si>
    <t>30.12.2031թ.</t>
  </si>
  <si>
    <t>4.12% և 0.25% պարտավճար</t>
  </si>
  <si>
    <t>«Երևան Ջերմաէլեկտրակենտրոն» ՓԲԸ</t>
  </si>
  <si>
    <t xml:space="preserve">«Երևանի համակցված շոգեգազային ցիկլով էլեկտրակայանի (էներգաբլոկի) նախագծի իրականացում» </t>
  </si>
  <si>
    <t>20.03.2015թ. -20.03.2045թ.</t>
  </si>
  <si>
    <t>հասարակ անտոկոս մուրհակ և Ընկերությանը պատկանող հողամասը և դրա վրա կառուցված շինությունները</t>
  </si>
  <si>
    <t>«Օժանդակություն էներգահամակարգին»</t>
  </si>
  <si>
    <t>Համաշխարհային բանկ</t>
  </si>
  <si>
    <t>17.12.2008թ. -17.12.2022թ.</t>
  </si>
  <si>
    <t>«Հայկական ատոմային էլեկտրոկայան» ՓԲԸ</t>
  </si>
  <si>
    <t>Ֆրանսիա</t>
  </si>
  <si>
    <t>10.12.2008թ. -30.12.2035թ.</t>
  </si>
  <si>
    <t xml:space="preserve">ՀՀ կառավարության 11.06.2020թ.  N 953-Ն որոշում </t>
  </si>
  <si>
    <t>25.06.2022թ. -25.06.2032թ.</t>
  </si>
  <si>
    <t xml:space="preserve">Հայաստանի Հանրապետության տարածքում ատոմային էլեկտրակայանի շահագործման ժամկետի երկարաձգման աշխատանքների ֆինանսավորման </t>
  </si>
  <si>
    <t xml:space="preserve">կայունացման դեպոզիտ հաշիվ </t>
  </si>
  <si>
    <t>10.01.2020թ. -10.07.2029թ.</t>
  </si>
  <si>
    <t xml:space="preserve">«Էներգետիկայի ոլորտի ֆինանսական առողջացում» </t>
  </si>
  <si>
    <t>15.11.2030թ. -15.11.2040թ.</t>
  </si>
  <si>
    <t>Հասարակ մուրհակներ, ՀԱԷԿ-ի սեփականություն հանդիսացող ակտիվները</t>
  </si>
  <si>
    <t>Հասարակ մուրհակներ, 11.07.2005թ. կնքված ենթավարկային համաձայնագրով ստանձնած պարտավորությունների ապահովման համար գրավադրված գույքը</t>
  </si>
  <si>
    <t>«Երքաղլույս» ՓԲԸ</t>
  </si>
  <si>
    <t>Երևանի քաղաքային լուսավորության ծրագիր</t>
  </si>
  <si>
    <t>16.10.2018թ. -16.04.2025թ.</t>
  </si>
  <si>
    <t xml:space="preserve">Ծրագիրն իրականացնողի կանոնադրությամբ նախատեսված Երևան քաղաքիարտաքին լուսավորության ցանցի շահագործման, հիմնանորագման և պահպանման ծրագրի իրականացման համար տրամադրվող ֆինանսական միջոցները </t>
  </si>
  <si>
    <t>«Նաիրիտ գործարան» ՓԲԸ*</t>
  </si>
  <si>
    <t xml:space="preserve">Պահանջի իրավունքի զիջման Համաձայնագիր
</t>
  </si>
  <si>
    <t>Պետական բյուջե</t>
  </si>
  <si>
    <t>01.07.2018թ.</t>
  </si>
  <si>
    <t>Ընդամենը ՀՀ Էներգետիկայի ոլորտում տրամադրված վարկեր</t>
  </si>
  <si>
    <t>«Կարեն Դեմերճյանի անվան Երևանի մետրոպոլիտեն» ՓԲԸ (ՎԶԵԲ I)</t>
  </si>
  <si>
    <t>«Երևանի մետրոպոլիտենի վերականգնում» I ծրագիր (ՎԶԵԲ)</t>
  </si>
  <si>
    <t>Վերակառուցման և Զարգացման Եվրոպական  Բանկ (ՎԶԵԲ)</t>
  </si>
  <si>
    <t>16.04.2013թ. - 16.10.2024թ.</t>
  </si>
  <si>
    <t>6-ամսյա Եվրոibor+1</t>
  </si>
  <si>
    <t>«Կարեն Դեմերճյանի անվան Երևանի մետրոպոլիտեն» ՓԲԸ (ՎԶԵԲ II)</t>
  </si>
  <si>
    <t>«Երևանի մետրոպոլիտենի վերականգնում» II ծրագիր (ՎԶԵԲ)</t>
  </si>
  <si>
    <t>16.10.2013թ. -16.04.2027թ.</t>
  </si>
  <si>
    <t>«Կարեն Դեմերճյանի անվան Երևանի մետրոպոլիտեն» ՓԲԸ (ԵՆԲ I)</t>
  </si>
  <si>
    <t>«Երևանի մետրոպոլիտենի վերականգնում» I ծրագիր (ԵՆԲ)</t>
  </si>
  <si>
    <t xml:space="preserve">Եվրոպական Ներդրումային Բանկի (ԵՆԲ) </t>
  </si>
  <si>
    <t>16.10.2015թ. - 16.04.2027թ.</t>
  </si>
  <si>
    <t>«Կարեն Դեմերճյանի անվան Երևանի մետրոպոլիտեն» ՓԲԸ  (ԵՆԲ II)</t>
  </si>
  <si>
    <t>«Երևանի մետրոպոլիտենի վերականգնում» II ծրագիր (ԵՆԲ)</t>
  </si>
  <si>
    <t>16.04.2019թ. -16.10.2033թ.</t>
  </si>
  <si>
    <t>Ընդամենը «Կարեն Դեմերճյանի անվան Երևանի մետրոպոլիտեն» ՓԲԸ տրամադրված վարկեր</t>
  </si>
  <si>
    <t>ՀՀ կենտրոնական բանկ</t>
  </si>
  <si>
    <t>Տնտեսության կայունացման վարկավորման ծրագիր</t>
  </si>
  <si>
    <t>15.12.2012թ. 15.06.2026թ.</t>
  </si>
  <si>
    <t>6-ամսյա Լibor+4%</t>
  </si>
  <si>
    <t>ՀՀ գյուղատնտեսության ոլորտի աջակցում</t>
  </si>
  <si>
    <t>30.06.2024</t>
  </si>
  <si>
    <t>«Ավանդների փոխհատուցումը երաշխավորող հիմնադրամ» ՓԲԸ</t>
  </si>
  <si>
    <t>«Հայաստանի Հանրապետության առևտրային բանկերում ֆիզիկական անձանց բանկային ավանդների հատուցումը երաշխավորող համակարգի ամրապնդում»</t>
  </si>
  <si>
    <t>25.12.2005թ. -25.06.2045թ.</t>
  </si>
  <si>
    <t>«Ակբա-Կրեդիտ Ագրիկոլ Բանկ» ՓԲԸ Հյուսիս Արևմտյան</t>
  </si>
  <si>
    <t>«Հյուսիս-Արևմտյան շրջանների գյուղատնտեսական ծառայությունների ծրագիր»</t>
  </si>
  <si>
    <t>ԳԶՄՀ</t>
  </si>
  <si>
    <t>01.06.2008թ. -01.12.2037թ.</t>
  </si>
  <si>
    <t>«Ակբա-Կրեդիտ Ագրիկոլ Բանկ» ՓԲԸ Գյուղատնտեսության ծառ.</t>
  </si>
  <si>
    <t>«Գյուղատնտեսական ծառայությունների ծրագիր»</t>
  </si>
  <si>
    <t>15.10.2011թ.-15.04.2041թ.</t>
  </si>
  <si>
    <t>Հայաստանում գյուղական տարածքների տնտեսական զարգացման հիմնադրամ (FREDA)</t>
  </si>
  <si>
    <t>08.01.2008թ.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</si>
  <si>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25.01.2018-25.01.2047թ.թ.</t>
  </si>
  <si>
    <t>02.09.2015թ.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</si>
  <si>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25.01.2025-25.01.2039թ.թ.</t>
  </si>
  <si>
    <t>Ընդամենը ՀՀ կենտրոնական բանկ, այլ բանկեր և վարկային կազմակերպություններին տրամադրված վարկեր</t>
  </si>
  <si>
    <t>«Վանաձորի բաղնիքային տնտեսություն»</t>
  </si>
  <si>
    <t>«Աղետի գոտու վերականգնում»</t>
  </si>
  <si>
    <t>01.11.2026թ.</t>
  </si>
  <si>
    <t>Վարկի հաշվին կառուցված գույքը</t>
  </si>
  <si>
    <t>«Երևանի քաղաքային նոր աղբավայր» ՓԲԸ</t>
  </si>
  <si>
    <t>Երևանի կոշտ թափոններ  (ՎԶԵԲ-ի ծրագիր)</t>
  </si>
  <si>
    <t>16.04.2018թ. -16.10.2029թ.</t>
  </si>
  <si>
    <t>Ծրագրի շրջանակներում ձեռք բերվող ակտիվները</t>
  </si>
  <si>
    <t>Երևանի կոշտ թափոններ  (ԵՆԲ-ի ծրագիր)</t>
  </si>
  <si>
    <t xml:space="preserve">«Կոտայքի և Գեղարքունիքի ԿԿԹԿ» ՍՊԸ </t>
  </si>
  <si>
    <t>«Հայաստանի վերականգնվող էներգետիկայի հիմնադրամ</t>
  </si>
  <si>
    <t>Գյուղական կարողությունների ստեղծման ծրագրի համաֆինանսավորում</t>
  </si>
  <si>
    <t>25.12.2012թ. -31.12.2022թ.</t>
  </si>
  <si>
    <t>«Ռադիոիզոտոպների արտադրության կենտրոն» ՓԲԸ</t>
  </si>
  <si>
    <t xml:space="preserve">Լիբոր+4 </t>
  </si>
  <si>
    <t>«Ավտոմատիկա» ՓԲԸ</t>
  </si>
  <si>
    <t>15.12.2020թ.</t>
  </si>
  <si>
    <t>ք. Երևան, Թևոսյան 3/1 հասցեում գտնվող անշարժ գույք</t>
  </si>
  <si>
    <t>«Բերրիություն ԱՄ-ի Մասիսի շրջանային միավորում» ՍՊԸ*</t>
  </si>
  <si>
    <t>Գյուղատնտեսության վարկավորման ծրագիր</t>
  </si>
  <si>
    <t>20.12.2016թ.</t>
  </si>
  <si>
    <t>ԳՖԿ ԾԻԳ (Գյուղատնտեսական տարածքների տնտեսական զարգացում ԳՏՏԶ) IFAD</t>
  </si>
  <si>
    <t>01.06.2015թ. 01.06.2044թ.</t>
  </si>
  <si>
    <t>ԳՖԿ ԾԻԳ (Գյուղական ձեռնարկությունների և փոքրածավալ առևտրային գյուղատնտեսության զարգացման ծրագիր ԳՁՓԱԳԶԾ) IDA</t>
  </si>
  <si>
    <t>15.12.2015թ. 15.06.2045թ.</t>
  </si>
  <si>
    <t xml:space="preserve">Շուկայական հնարավորություններ ֆերմերներին ծրագիր (ՇՀՖ) </t>
  </si>
  <si>
    <t>04.02.2018թ. 04.08.2057թ.</t>
  </si>
  <si>
    <t>«Դարդան» ՍՊԸ</t>
  </si>
  <si>
    <t>Համաշխարհային բանկի հաշվին ապրանքային վարկ</t>
  </si>
  <si>
    <t>31.07.2021թ.</t>
  </si>
  <si>
    <t>1. ՀՀ  Արմավիրի մարզ,  գ.Նորակերտ, Նորակերտի խճուղի 10 (վարչական շենք և այլ շինություններ), քաղ. Երևան, Աճառյան փողոց  42բ (կաթսայատան վերնահարկ, պահեստ և այլ շինություններ), շինարարական և այլ տրանսպորտային միջոցներ</t>
  </si>
  <si>
    <t>«Համո Բեկնազարյանի անվան «Հայֆիլմ» կինոստուդիա» ՓԲԸ</t>
  </si>
  <si>
    <t xml:space="preserve">Պահանջի իրավունքի զիջման համաձայնագիր
</t>
  </si>
  <si>
    <t>24.12.2025թ.</t>
  </si>
  <si>
    <t>«Դի Էնդ Էյջ Գրուպ»  ՍՊԸ</t>
  </si>
  <si>
    <t>Տնտեսության վարկավորման ծրագիր</t>
  </si>
  <si>
    <t>կայունացման դեպոզիտ հաշիվ (եվրոբոնդ)</t>
  </si>
  <si>
    <t>10.12.2024թ.-10.12.2026թ.</t>
  </si>
  <si>
    <t>2% մինչև 31/12/2023, 01/01/2024-ից- 8%</t>
  </si>
  <si>
    <t xml:space="preserve"> ՀՀ ք. Երևան, Փ. Բյուզանդի 15 հասցեում գտնվող հյուրանոցային համալիրը</t>
  </si>
  <si>
    <t>28.06.2027թ.</t>
  </si>
  <si>
    <t>2% մինչև 31/12/2023, 01/01/2024-ից - 10.4%</t>
  </si>
  <si>
    <t>Կանոնադրական կապիտալում սեփ. իրավունքով պատկանող բաժնեմասերը, ՀՀ ք. Երևան, Փ. Բյուզանդի 15 հասցեում գտնվող հյուրանոցային համալիրը</t>
  </si>
  <si>
    <t>Ընդամենը տնտեսության վարկավորման համար տարբեր կազմակերպություններին և ընկերություններին տրամադրված վարկեր</t>
  </si>
  <si>
    <t>04.06.2022թ.</t>
  </si>
  <si>
    <t>31.03.2025թ.</t>
  </si>
  <si>
    <t xml:space="preserve">Ընդամենը Կորոնավիրուսի (COVID-19) տնտեսական հետևանքների չեզոքացման հետ կապված </t>
  </si>
  <si>
    <t xml:space="preserve">«ԱԱԲ Պրոեկտ» ՍՊԸ </t>
  </si>
  <si>
    <t xml:space="preserve">«Կորսան Կորվիամ Կոնստրուկսինո» ԲԸ-ի կողմից չվճարված դրամական պահանջներ ունեցող ՀՀ կազմակերպություններին տրամադրվող բյուջետային վարկեր
</t>
  </si>
  <si>
    <t>15.06.2022-15.06.2025թթ.</t>
  </si>
  <si>
    <t>ՀՀ, Կոտայքի մարզ, Արամուսի բազալտի հանքավայրի արդյունահանման Արմենիուս տեղամասը հասցեում գտնվող հողամասի նկատմամբ ընդերքօգտագործման իրավունքը</t>
  </si>
  <si>
    <t>«Շին Թրեյդ» ՍՊԸ</t>
  </si>
  <si>
    <t>10.06.2022-10.06.2025թթ.</t>
  </si>
  <si>
    <t>ք. Երևան, Դավթաշեն 10-րդ փողոց 2/7 բնակելի տուն հասցեում գտնվող 517,54  քմ և 0.096578 հա մակերեսով հողամասը</t>
  </si>
  <si>
    <t>«ՄԼ Մայնինգ» ՍՊԸ</t>
  </si>
  <si>
    <t xml:space="preserve">   Մայր գումար՝                   15.06.2022 -15.06.2025                              Տոկոսագումար՝                 15.09.2020 -15.06.2025 </t>
  </si>
  <si>
    <t>IVECO TRAKKER 450 մակնիշի բեռնատար ինքնաթափ (2 հատ), MAN TGA-41 մակնիշի բեռնատար ինքնաթափ  (3 հատ)</t>
  </si>
  <si>
    <t>«Ժակշին» ՍՊԸ</t>
  </si>
  <si>
    <t xml:space="preserve">   Մայր գումար՝                   25.06.2022 -25.06.2025                              Տոկոսագումար՝                 25.09.2020 -25.06.2025</t>
  </si>
  <si>
    <t>Շինտեխնիկա` KAMAZ.
SINOTRUK 2011- 2 հատ</t>
  </si>
  <si>
    <t>«Բիզնես Ալտերնատիվ» ՍՊԸ</t>
  </si>
  <si>
    <t xml:space="preserve">   Մայր գումար՝                   10.06.2022 -10.06.2025                              Տոկոսագումար՝                 10.09.2020 -10.06.2025  </t>
  </si>
  <si>
    <t>Շինտեխնիկա՝ YARI ROMORK T-MAX</t>
  </si>
  <si>
    <t>«Քեյ դի Էյջ» ՍՊԸ</t>
  </si>
  <si>
    <t>Ավտոմեքենա՝ MERCEDES-BENZ E35O</t>
  </si>
  <si>
    <t>«Ռաֆայել» ՍՊԸ</t>
  </si>
  <si>
    <t xml:space="preserve">   Մայր գումար՝                   10.07.2022 -10.07.2025                              Տոկոսագումար՝                 10.10.2020 -10.07.2025</t>
  </si>
  <si>
    <t>Վիբրացիոն գլդոն և հողամաս</t>
  </si>
  <si>
    <t>«Միրադա» ՍՊԸ</t>
  </si>
  <si>
    <t xml:space="preserve">   Մայր գումար՝                   25.06.2022 -25.06.2025                              Տոկոսագումար՝                 25.09.2020 -25.06.2025    </t>
  </si>
  <si>
    <t xml:space="preserve">ք. Երևան,  Քրիստափորի փողոց 1/3 տարածք հասարակական նշանակության շինություն </t>
  </si>
  <si>
    <t>Մայր գումար՝                   15.07.2022 -15.07.2025                              Տոկոսագումար՝                 15.10.2020 -15.07.2025</t>
  </si>
  <si>
    <t>«Ավետիք Սարգսյան» ԱՁ</t>
  </si>
  <si>
    <t>Կռազ-ցիստեռն</t>
  </si>
  <si>
    <t>«Նաիրիի ՃՇՇ» ԲԲԸ</t>
  </si>
  <si>
    <t xml:space="preserve">  Մայր գումար՝                   25.06.2022 -25.06.2025                              Տոկոսագումար՝                 25.09.2020 -25.06.2025 </t>
  </si>
  <si>
    <t>Շինտեխնիկա՝ZIL MMZ-45021 2 հատ
ԳՐԵՅԴԵՐ 2 հատ</t>
  </si>
  <si>
    <t>«Կամուրջշին» ՓԲԸ</t>
  </si>
  <si>
    <t xml:space="preserve"> Մայր գումար՝                   15.07.2022 -15.07.2025                              Տոկոսագումար՝                 15.10.2020 -15.07.2025</t>
  </si>
  <si>
    <t>Սարքավորումներ և շինտեխնիկա, մեքենաներ</t>
  </si>
  <si>
    <t>«Կամա» ՍՊԸ</t>
  </si>
  <si>
    <t xml:space="preserve">   Մայր գումար՝                   10.07.2022 -10.07.2025                              Տոկոսագումար՝                 10.10.2020 -10.07.2025 </t>
  </si>
  <si>
    <t>2 հատ SHACMAN տեսակի շինտեխնիկա</t>
  </si>
  <si>
    <t>«Ինքնաթափ» ՍՊԸ</t>
  </si>
  <si>
    <t xml:space="preserve">   Մայր գումար՝                   30.07.2022 -30.07.2025                              Տոկոսագումար՝                 30.10.2020 -30.07.2026</t>
  </si>
  <si>
    <t>CAT մակնիշի ինքնաթափ, hողամաս, TOYOTA</t>
  </si>
  <si>
    <t>«Արարատ Թորոսյան» ԱՁ</t>
  </si>
  <si>
    <t>2 հողամաս</t>
  </si>
  <si>
    <t>«Էս ընդ Եյ Մայնինգ» ՍՊԸ</t>
  </si>
  <si>
    <t xml:space="preserve">   Մայր գումար՝                   25.08.2022 -25.08.2025                              Տոկոսագումար՝                 25.11.2020 -25.09.2025</t>
  </si>
  <si>
    <t xml:space="preserve"> Շին.տեխնիկա` 11 հատ</t>
  </si>
  <si>
    <t>«Ապառաժ» ՍՊԸ</t>
  </si>
  <si>
    <t>Շինտեխնիկա և ավտոմեքենա՝ 2 հատ</t>
  </si>
  <si>
    <t>«Տնա-Շին Աշոտ» ՍՊԸ</t>
  </si>
  <si>
    <t xml:space="preserve"> Մայր գումար՝                   25.09.2022 -25.09.2025                              Տոկոսագումար՝                 25.12.2020 -25.09.2025</t>
  </si>
  <si>
    <t>5 հատ SCANIA &lt;Քաջ Տրանս&gt; ՍՊԸ-ի</t>
  </si>
  <si>
    <t>«Դենտալ Իմպորտ» ՍՊԸ</t>
  </si>
  <si>
    <t>Մայր գումար՝                   20.11.2022 -20.11.2025                              Տոկոսագումար՝                 20.02.2021 -20.11.2025</t>
  </si>
  <si>
    <t>թվով 21 շինարարական տեխնիկա</t>
  </si>
  <si>
    <t>«Սուարդի» ԲԸ Հ/Մ</t>
  </si>
  <si>
    <t>Մայր գումար՝                   05.11.2022 -05.11.2025                              Տոկոսագումար՝                 05.02.2021 -05.11.2025</t>
  </si>
  <si>
    <t>&lt;&lt;Աննա Ավետիսյան&gt;&gt;ԱՁ</t>
  </si>
  <si>
    <t>2 հատ վերամբարձ մեքենա և ասֆալտ փռող մեքենա</t>
  </si>
  <si>
    <t>«Քաջ-Տրանս» ՍՊԸ</t>
  </si>
  <si>
    <t xml:space="preserve">Մայր գումար՝                   15.12.2022 -15.12.2025                              Տոկոսագումար՝                 15.03.2021 -15.12.2025 </t>
  </si>
  <si>
    <t>1 հատ SCANIA</t>
  </si>
  <si>
    <t>Ընդամենը տրամադրված վարկերի և ենթավարկերի կառուցվածքը ըստ իրենց արժույթների</t>
  </si>
  <si>
    <t>Արցախի Հանրապետության կառավարություն</t>
  </si>
  <si>
    <t>Միջպետական վարկ</t>
  </si>
  <si>
    <t>2025թ.</t>
  </si>
  <si>
    <t>Կոտայքի և Գեղարքունիքի մարզերի կոշտ թափոնների կառավարման ծրագիր</t>
  </si>
  <si>
    <t>25.06.2023թ. -25.06.2033թ.</t>
  </si>
  <si>
    <t>16.10.2021թ. -16.10.2033թ.</t>
  </si>
  <si>
    <t>15.11.2012թ. Անշարժ Գույքի Գրավի Պայամանգրի համաձայն` («Պետական գույքի գույքագրման և գնահատման գործակալություն» ՊՈԱԿ-ի կողմից 07.06.2012թ. կազմված գնահատման հաշվետվության համաձայն գրավի առարկայի շուկայական արժեքը 2012թ. գնահատման ժամանակահատվածի դրությամբ կազմել է 280,511,000 ՀՀ դրամ, կադաստրային արժեքը` համաձայն ՀՀ կառավարությանն առընթեր անշարժ գույքի կադաստրի պետական կոմիտեի 14.11.2012թ. N ԱՏ-12/11/2012-1-0280 տեղեկանքի կազմում է հա 14,646,180 ՀՀ դրամ) Աջափնյակ Հալաբյան փողոց թիվ 38/7 հասցեում գտնվող հողատարածքը (1.34999 հա -0.9225=0.42749 հա), ապագայում կառուցվելիք անշարժ գույքը  և «ԱյԲիԷյ մոլեկուլյար» կազմակերպությունից ձեռք բերվելիք «Ցիկլոն 18/18» ցիկլոտրոնը,ինչպես նաև ապագայում ձեռք բերվելիք սարքավորումները` դրանց արժեքը կանոնադրական կապիտալ ներդրումից հետո: Հայաստանի Հանրապետության առողջապահության նախարարին` Հայաստանի Հանրապետության օրենսդրությամբ սահմանված կարգով ապահովել ընկերության կանոնադրական կապիտալի ավելացումը՝ սարքավորումների ձեռքբերման և մոնտաժման աշխա¬¬տանքների արժեքի չափով, լրացուցիչ բաժնետոմսեր տեղաբաշխելու միջոցով</t>
  </si>
  <si>
    <t xml:space="preserve">ՀՀ կառավարության 14.10.2021թ.  N 1688-Ն որոշում </t>
  </si>
  <si>
    <t>25.12.2023թ. -25.06.2033թ.</t>
  </si>
  <si>
    <t xml:space="preserve">Տեղեկանք </t>
  </si>
  <si>
    <t>Պրինցիպալը</t>
  </si>
  <si>
    <t>Բենեֆիցարը</t>
  </si>
  <si>
    <t>Երաշխիքի մարման ամսաթիվը</t>
  </si>
  <si>
    <t>Երաշխիքի գումարը /դրամ/</t>
  </si>
  <si>
    <t>«ԱՐՄՍՎԻՍԲԱՆԿ» ՓԲԸ</t>
  </si>
  <si>
    <t>Ընդամենը</t>
  </si>
  <si>
    <t>Գերմանիա (KfW)</t>
  </si>
  <si>
    <t xml:space="preserve">ՀՀ կառավարության 25.03.2021թ.  N 415-Ն որոշում </t>
  </si>
  <si>
    <t>1.404%                   1.056%</t>
  </si>
  <si>
    <t>KFW</t>
  </si>
  <si>
    <t>16.04.2023թ.  16.10.2030թ.</t>
  </si>
  <si>
    <t>«ՀԱՅԱՍՏԱՆԻ ԶԱՐԳԱՑՄԱՆ և ՆԵՐԴՐՈՒՄՆԵՐԻ» ԿՈՐՊՈՐԱՑԻԱ ՈՒՎԿ ՓԲԸ</t>
  </si>
  <si>
    <t>Երաշխիքի գծով պարտավորության մնացորդ /դրամ/</t>
  </si>
  <si>
    <t>&lt;&lt; Երևանի  ավտոբուս&gt;&gt; ՓԲԸ</t>
  </si>
  <si>
    <t>Երևանի քաղաքային ավտոբուսներ ծրագիր</t>
  </si>
  <si>
    <t>ՎԶԵԲ</t>
  </si>
  <si>
    <t>16.04.2025թ.-16.10.2036թ.</t>
  </si>
  <si>
    <t>SOFR</t>
  </si>
  <si>
    <t>Գրավի առարկան հանդիսանալու է ձեռք վբերված հիմանկան միջոցները</t>
  </si>
  <si>
    <t>Ենթավարկի, բյուջետային վարկի, պայմանագրով հանձնված պարտավորության մարման ժամկետը</t>
  </si>
  <si>
    <t>01.07.2023-20.05.2033թ.թ.</t>
  </si>
  <si>
    <t>10.06.2023-08.11.2031թ.թ.</t>
  </si>
  <si>
    <t>10.06.2023-19.03.2033թ.թ.</t>
  </si>
  <si>
    <t>10.06.2023-03.09.2029թ.թ.</t>
  </si>
  <si>
    <t>Գյուղատնտեսության Զարգացման Միջազգային Հիմնադրամ</t>
  </si>
  <si>
    <t>Ենթակառուցվածքների և գյուղական ֆինանսավորման աջակցություն</t>
  </si>
  <si>
    <t>30.06.2025թ. 31.12.2044թ.</t>
  </si>
  <si>
    <t>Ենթավարկային պայմանագրի կնքման ամսաթիվը և համարը</t>
  </si>
  <si>
    <t>07.10.2009թ.</t>
  </si>
  <si>
    <t>25.06.1999թ.</t>
  </si>
  <si>
    <t>13.03.2015թ.</t>
  </si>
  <si>
    <t>12.03.2016թ.</t>
  </si>
  <si>
    <t>27.05.2016թ.</t>
  </si>
  <si>
    <t>18.11.2011թ.</t>
  </si>
  <si>
    <t>02.02.2015թ.</t>
  </si>
  <si>
    <t>11.08.2015թ.</t>
  </si>
  <si>
    <t>14.08.2015թ.</t>
  </si>
  <si>
    <t>06.02.2015թ.</t>
  </si>
  <si>
    <t>30.11.1999թ.</t>
  </si>
  <si>
    <t>12.05.2005թ.</t>
  </si>
  <si>
    <t>04.05.2007թ.</t>
  </si>
  <si>
    <t>12.07.2004թ.</t>
  </si>
  <si>
    <t>30.07.2012թ.</t>
  </si>
  <si>
    <t>21.06.2010թ.</t>
  </si>
  <si>
    <t>20.12.16թ. Ենթավարկային պայմանագիր</t>
  </si>
  <si>
    <t>11.07.2005թ.</t>
  </si>
  <si>
    <t xml:space="preserve">16.02.2004թ.  N4(48)/CP-2004 </t>
  </si>
  <si>
    <t xml:space="preserve"> 24.02.2004թ. N 1(01)CP-2004 վարկային պայմանագիր</t>
  </si>
  <si>
    <t>10.07.2020թ. N 8/20 վարկային պայմանագիր</t>
  </si>
  <si>
    <t>20.10.2021թ. N 10/21 վարկային պայմանագիր</t>
  </si>
  <si>
    <t>22.06.2015թ.  N 6/2015</t>
  </si>
  <si>
    <t>22.06.2016թ.</t>
  </si>
  <si>
    <t>14.06.2016թ.</t>
  </si>
  <si>
    <t>13.07.2010թ.</t>
  </si>
  <si>
    <t>30.05.2013թ.</t>
  </si>
  <si>
    <t>03.05.2011թ.</t>
  </si>
  <si>
    <t>09.02.2015թ.</t>
  </si>
  <si>
    <t xml:space="preserve">08.07.2009թ. Ֆինանսական գործակալության պայմանգիր և 21.02.11թ. Համաձայնագիր </t>
  </si>
  <si>
    <t>12.12.2012թ. Ֆինանսական գործակալության պայմանգիր KFW- AGRO</t>
  </si>
  <si>
    <t>28.07.2005թ. Ենթավարկային պայմանագիր</t>
  </si>
  <si>
    <t>13.01.1998թ. Սուբսիդավորմամբ ֆինանսավորման պայմանագիր</t>
  </si>
  <si>
    <t>11.01.2002թ.ՀԳՓԲ սուբսիդավորման համաձայնագիր</t>
  </si>
  <si>
    <t>28.07.2009թ.</t>
  </si>
  <si>
    <t>02.09.2015թ.</t>
  </si>
  <si>
    <t>05.05.2006         թիվ 1/2006</t>
  </si>
  <si>
    <t>22.12.2017թ.</t>
  </si>
  <si>
    <t>29.12.2017թ.</t>
  </si>
  <si>
    <t>15.02.2018թ.</t>
  </si>
  <si>
    <t xml:space="preserve">15.11.2012թ. </t>
  </si>
  <si>
    <t xml:space="preserve">03.02.2016թ. կնքված </t>
  </si>
  <si>
    <t>09.07.2011թ.  N 1/2011</t>
  </si>
  <si>
    <t>08.11.2012թ.  N 6/2012</t>
  </si>
  <si>
    <t>19.03.2014թ.  N 3/2014</t>
  </si>
  <si>
    <t>03.09.2015թ.   N 3/2015</t>
  </si>
  <si>
    <t>28.12.2015թ. N 11/2015</t>
  </si>
  <si>
    <t>05.02.2016թ.  N 2/2016</t>
  </si>
  <si>
    <t>ՀՀ և Զարգացման միջազգային ընկերակցության միջև 28.01.2005թ. կնքված N 653-AM փոխառության համաձայնագիր</t>
  </si>
  <si>
    <t>ՀՀ և Զարգացման միջազգային ընկերակցության միջև 20.07.2005թ. կնքված N 4095-AM փոխառության համաձայնագիր</t>
  </si>
  <si>
    <t>Հայաստանի Հանրապետության (ԳՖԿ ԾԻԳ ՊՀ) կողմից օգտագործված փոխառությունների համաձայնագիր</t>
  </si>
  <si>
    <t xml:space="preserve"> ԳԶՄՀ միջև  12.11.2014թ-ին կնքված &lt;&lt;Ենթակառուցվածքների և գյուղական ֆինանսավորման աջակցություն&gt;&gt;  համաձայնագիր</t>
  </si>
  <si>
    <t>07.04.2010թ. N 01 կնքված պահանջի իրավունքի զիջման մասին պայմանագիր, 27.12.2017թ. կնքված պայմանագրի փոփոխություն` Համաձայնագիր N 1, 17.04.2019թ. կնքված պայմանագրի փոփոխություն` Համաձայնագիր N 2, 09.04.2021թ. Կնքված հաշտության համաձայնագիր</t>
  </si>
  <si>
    <t>ՀՀ և Վերակառուցման և Զարգացման Եվրոպական Բանկի միջև 24.11.2021թ. կնքված Համաձայնագիր, 04.07.2022թ. Կնքված իրականացման համաձայնագիր</t>
  </si>
  <si>
    <t xml:space="preserve">29.12.2015թ. </t>
  </si>
  <si>
    <t>06.10.11թ. Պարտքի մարման համաձայնագիր</t>
  </si>
  <si>
    <t>29.09.2015թ N6/2015</t>
  </si>
  <si>
    <t>Պահանջի իրավունքի զիջման պայմանագիր 27.12.2016թ.</t>
  </si>
  <si>
    <t>31.03.2020թ
16/310320-1 ֆինանսական գործակալության պայմանագիր, 02.06.2020թ. Փոփոխություններ և լրացումներ կատարելու մասին համաձայնագիր</t>
  </si>
  <si>
    <t xml:space="preserve">25.12.2020թ. Փոխառության պայմանագիր Н420-20 ( ՀՀ կառավարության 27.05.202թ.   854-Լ որոշում, ՀՀ կառավարության 02․07․2020թ․ 1094-Ն որոշում, ՀՀ կառավարության 27.07.2020թ. 1233-Ն որոշում)            </t>
  </si>
  <si>
    <t xml:space="preserve">ՀՀ կառավարության 09.04.2020թ. թիվ 727-Ն որոշում                 </t>
  </si>
  <si>
    <t xml:space="preserve">ՀՀ կառավարության 09.04.2020թ. թիվ 727-Ն որոշում                        </t>
  </si>
  <si>
    <t xml:space="preserve">ՀՀ կառավարության 09.04.2020թ. թիվ 727-Ն որոշում                         </t>
  </si>
  <si>
    <t>ՀՀ կառավարության 09.04.2020թ. թիվ 727-Ն որոշում</t>
  </si>
  <si>
    <t>1993-2020թթ</t>
  </si>
  <si>
    <t>«ԻՆԵԿՈԲԱՆԿ» ՓԲԸ</t>
  </si>
  <si>
    <t>«ԻՋԵՎԱՆԻ ԳԻՆՈՒ, ԿՈՆՅԱԿԻ ԳՈՐԾԱՐԱՆ» ՓԲԸ</t>
  </si>
  <si>
    <t>12.12.2024թ.</t>
  </si>
  <si>
    <t>Sofr+ փոփոխական մարժա</t>
  </si>
  <si>
    <t>Sofr + փոփոխական մարժա և 0.25% պարտավճար</t>
  </si>
  <si>
    <t>30.12.2023թ.</t>
  </si>
  <si>
    <t xml:space="preserve">      ՀՀ կառավարության 26․03․2020թ․ 356-Լ որոշում, ՀՀ կառավարության 25․03․2020թ․ 417-Լ որոշում,          Գործակալական պայմանագիր 16.1/050421-1      </t>
  </si>
  <si>
    <t>«ՊՌՈՇՅԱՆԻ ԿՈՆՅԱԿԻ ԳՈՐԾԱՐԱՆ» ՍՊԸ</t>
  </si>
  <si>
    <t>«ԵՐԱՍԽԻ ԳԻՆՈՒ ԳՈՐԾԱՐԱՆ» ՍՊԸ</t>
  </si>
  <si>
    <t>«ՄԱՊ» ՓԲԸ</t>
  </si>
  <si>
    <t>«ԱՐԱՐԱՏԻ ԳԻՆՈՒ ԳՈՐԾԱՐԱՆ» ՍՊԸ</t>
  </si>
  <si>
    <t>«ԷՎՈԿԱԲԱՆԿ» ՓԲԸ</t>
  </si>
  <si>
    <t>«ԱՐԴՇԻՆԲԱՆԿ» ԲԲԸ</t>
  </si>
  <si>
    <t>28.02.2026թ.</t>
  </si>
  <si>
    <t>02.03.2026թ.</t>
  </si>
  <si>
    <t>ՀՀ կառավարության գործող երաշխիքները</t>
  </si>
  <si>
    <t>The existing guarantees of the Government of RA</t>
  </si>
  <si>
    <t>Действующие гарантии Правительства РА</t>
  </si>
  <si>
    <t>ՆԵՐՔԻՆ ԵՐԱՇԽԻՔՆԵՐ</t>
  </si>
  <si>
    <t>DOMESTIC GUARANTEES</t>
  </si>
  <si>
    <t>ВНУТРЕННИЕ ГАРАНТИИ</t>
  </si>
  <si>
    <t>այդ թվում՝</t>
  </si>
  <si>
    <t xml:space="preserve">  of which</t>
  </si>
  <si>
    <t xml:space="preserve">       в том числе</t>
  </si>
  <si>
    <t>«ԱՐՏԱՇԱՏ-ՎԻՆԿՈՆ» ՓԲԸ</t>
  </si>
  <si>
    <t>"ARTASHAT-VINCON" CJSC</t>
  </si>
  <si>
    <t>"ArmSwissBank" CJSC</t>
  </si>
  <si>
    <t>«АРТАШАТ-ВИНКОН» ЗАО</t>
  </si>
  <si>
    <t>«Армсвиссбанк» ЗАО</t>
  </si>
  <si>
    <t>"YERASKH WINE FACTORY" LLC</t>
  </si>
  <si>
    <t>«ЕРАСХСКИЙ ВИННЫЙ ЗАВОД» ООО</t>
  </si>
  <si>
    <t>«ԳԵՏԱՓԻ ԳԻՆՈՒ ԿՈՆՅԱԿԻ ԳՈՐԾԱՐԱՆ» ՍՊԸ</t>
  </si>
  <si>
    <t>"GETAP WINE AND BRANDY FACTORY" LLC</t>
  </si>
  <si>
    <t>«ГЕТАПСКИЙ ВИННОКОНЬЯЧНЫЙ ЗАВОД» ООО</t>
  </si>
  <si>
    <t>"VEDI ALCO" CJSC</t>
  </si>
  <si>
    <t>«ВЕДИ АЛКО» ЗАО</t>
  </si>
  <si>
    <t>"Development And Investments Corporation of Armenia" CJSC</t>
  </si>
  <si>
    <t>«Корпорация развития и инвестиций Армении» ЗАО</t>
  </si>
  <si>
    <t>"PROSHYAN BRANDY FACTORY" LLC</t>
  </si>
  <si>
    <t>«ПРОШЯНСКИЙ КОНЬЯЧНЫЙ ЗАВОД» ООО</t>
  </si>
  <si>
    <t>"IJEYAN WINE AND BRANDY FACTORY" CJSC</t>
  </si>
  <si>
    <t>"Inecobank" CJSC</t>
  </si>
  <si>
    <t>«ИДЖЕВАНСКИЙ ВИННОКОНЬЯЧНЫЙ ЗАВОД» ЗАО</t>
  </si>
  <si>
    <t>«Инекобанк» ЗАО</t>
  </si>
  <si>
    <t>"ARARAT WINE FACTORY CO.LTD</t>
  </si>
  <si>
    <t>«Араратский  винный  завод» ООО</t>
  </si>
  <si>
    <t>"MAP" COMPANY</t>
  </si>
  <si>
    <t>"Evocabank" CJSC</t>
  </si>
  <si>
    <t>«МАП»  ЗАО</t>
  </si>
  <si>
    <t>«Эвокабанк» ЗАО</t>
  </si>
  <si>
    <t>"Ardshinbank" CJSC</t>
  </si>
  <si>
    <t>«Ардшинбанк» ЗАО</t>
  </si>
  <si>
    <t>ՀՀ կառավարության կողմից երաշխիքների սպասարկման գծով կատարված վճարումներ՝ պայմանավորված պրինցիպալի կողմից իր վճարային պարտավորությունների չկատարմամբ</t>
  </si>
  <si>
    <t>Payments made by the Government of the Republic of Armenia on guarantees' servicing, due to default on payment obligations by the principal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</si>
  <si>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</si>
  <si>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20.03.2026թ.</t>
  </si>
  <si>
    <t>23.03.2026թ.</t>
  </si>
  <si>
    <t>«ՎԵԴԻ-ԱԼԿՈ» ՓԲԸ</t>
  </si>
  <si>
    <t>26.03.2026թ.</t>
  </si>
  <si>
    <t xml:space="preserve">Երաշխիքի գումարը /դրամ/ Guarantee amount /AMD/             Сумма гарантии /драм РА/ </t>
  </si>
  <si>
    <t>Երաշխիքի գծով պարտավորության մնացորդ /ՀՀ դրամ/                                Balance of guarantee obligation /AMD/  Остаток гарантийных обязательств /драм РА/</t>
  </si>
  <si>
    <t>Վարկի գումարի չափը</t>
  </si>
  <si>
    <t>Մասհանված գումարի չափը</t>
  </si>
  <si>
    <t>Արտաքին վարկի տրամադրման տարեկան տոկոսադրույքը</t>
  </si>
  <si>
    <t>Արտաքին վարկից մարված գումար</t>
  </si>
  <si>
    <t>Արտաքին վարկի հիմնական գումարի մնացորդ</t>
  </si>
  <si>
    <t>6-ամսյա Libor+ փոփոխական մարժա</t>
  </si>
  <si>
    <t>SDR</t>
  </si>
  <si>
    <t xml:space="preserve"> SDR</t>
  </si>
  <si>
    <t>1.8% / 0.75%</t>
  </si>
  <si>
    <t xml:space="preserve">Գերմանական մարկ </t>
  </si>
  <si>
    <t>6-ամսյա Եվրոibor+0.75</t>
  </si>
  <si>
    <t>6-ամսյա Եվրոibor+0.693 կամ ֆիքսված</t>
  </si>
  <si>
    <t>«Կորսան Կորվիամ Կոնստրուկսինո» ԲԸ-ի  հետ կապված և այլ վարկեր</t>
  </si>
  <si>
    <t>11 հատ տրանսպորտային միջոց և 19 հատ շին.տեխնիկա</t>
  </si>
  <si>
    <t>Անշարժ և շարժական գույք, բաժնետոմսեր</t>
  </si>
  <si>
    <t>«Սահակյանշին» ՓԲԸ</t>
  </si>
  <si>
    <t>Բյուջետային վարկ</t>
  </si>
  <si>
    <t>25.09.2023թ.</t>
  </si>
  <si>
    <t>2026թ.</t>
  </si>
  <si>
    <t>Գրավով՝ քաղ. Երևան, Մալաթիա-Սեբաստիա, Ծիծեռնակաբերդի խճուղի 39/1 հասցեում գտնվող հողամասը</t>
  </si>
  <si>
    <t>16.08.2027թ.</t>
  </si>
  <si>
    <t>«Հայ-Ալմաստ» ՓԲԸ-</t>
  </si>
  <si>
    <t xml:space="preserve">09.11.2023թ. N 2/2023 </t>
  </si>
  <si>
    <t>Վարկի հաշվին ձեռք բերված հայկական կոնյակի սպիրտ</t>
  </si>
  <si>
    <t>«Իջևանի գինու, կոնյակի գործարան» ՓԲԸ</t>
  </si>
  <si>
    <t>«Պռոշյանի կոնյակի գործարան» ՍՊԸ</t>
  </si>
  <si>
    <t>«Վեդի-Ալկո» ՓԲԸ</t>
  </si>
  <si>
    <t>04.09.2027թ.</t>
  </si>
  <si>
    <t>08.09.2027թ.</t>
  </si>
  <si>
    <t>25.09.2027թ.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</si>
  <si>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31.01.2024թ. դրությամբ </t>
  </si>
  <si>
    <t xml:space="preserve">ԱՅԼ </t>
  </si>
  <si>
    <t xml:space="preserve">20.12.2030թ. </t>
  </si>
  <si>
    <t xml:space="preserve">30.06.2023թ. </t>
  </si>
  <si>
    <t>10.03.2021թ. 10.03.2024թ.</t>
  </si>
  <si>
    <t>25,01,2021թ. 25,12,2040թ.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</si>
  <si>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29.02.2024թ. դրությամբ </t>
  </si>
  <si>
    <t>Ծանոթագրություն</t>
  </si>
  <si>
    <t>ՀՀ պետական բյուջե</t>
  </si>
  <si>
    <t>1.8% և 0.25% պարտավճար</t>
  </si>
  <si>
    <t>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պետք է չեղարկվի (փոփոխոիթյան համաձայնագիրը կնքման փուլում է)</t>
  </si>
  <si>
    <t>Համաձայն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</si>
  <si>
    <t>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</si>
  <si>
    <t>11.06.2018թ. Համաձայնագրով 30.205.514  փոխարինվել է 22.305.514
14.02.2020թ. Համաձայնագրով 22.305.514    փոխարինվել է 16.662.617</t>
  </si>
  <si>
    <t>18.06.2020թ. Համաձայնագրով 15.192.292 SDR փոխարինվել է 13.988.153 SDR, իսկ մասհանման ժամկետը երկարաձգվել է մինչև 30.06.2022թ (30.06.2020 փոխարեն)</t>
  </si>
  <si>
    <t>25.05.2020թ. Համաձայնագրով 8.829.708 SDR փոխարինվել է 10.098.535 SDR, իսկ մասհանման ժամկետը երկարաձգվել է մինչև 30.06.2022թ (30.06.2020 փոխարեն)</t>
  </si>
  <si>
    <t xml:space="preserve">Վարկը ամբողջությամբ մարվել է </t>
  </si>
  <si>
    <t>ՌԴ կառավարություն</t>
  </si>
  <si>
    <t xml:space="preserve">Կայունացման դեպոզիտ հաշիվ </t>
  </si>
  <si>
    <t>02.07.2015թ. N 1247-Ն որոշմամբ  մարման ժամկետը 2019թ. երկարաձգվել է մինչև 2026թ.</t>
  </si>
  <si>
    <t>ՀՀ կառ. 03.08.2017թ. N921-Ա որոշման համաձայն Ընկերությանը տրամադրված վարկի մարման ժամկետները հետաձգել են, տոկոսների վճարումից ազատվել է, իսկ հաշվարկված տույժի վճարումը ներվել է</t>
  </si>
  <si>
    <t>ՀՀ կառ. 29.04.2021թ. N664-Ա որոշման համաձայն Ընկերությանը տրամադրված վարկի մարման ժամկետը հետաձգվել է 2020-ից 2023թ.</t>
  </si>
  <si>
    <t>Վարկի մայր գումարի և տոկոսագումարի վճարումները հետաձգվել են:</t>
  </si>
  <si>
    <t>Ժամկետանց</t>
  </si>
  <si>
    <t>ՀՀ կառավարության 07.12.2017թ. N 1585-Ն որոշման համաձայն 163,143,274 դրամ գումարի չափով մայր գումարի նվազեցում</t>
  </si>
  <si>
    <t>Վարկի մայր գումարի և տոկոսագումարի վճարումները հետաձգվել են, տոկոսագումարները կապիտալիզացվել են:</t>
  </si>
  <si>
    <t>«Համահայկական ֆոնդ» փակ ոչ հրապարակային պայմանագրային ներդրումային ֆոնդ</t>
  </si>
  <si>
    <t>2028թ.</t>
  </si>
  <si>
    <t xml:space="preserve">«ՋԻ ԹԻ ԲԻ ՓՐՈՓՐԹԻՍ» ՍՊԸ-ին պատկանող Արարատի մարզի Երասխ բնակավայրում գտնվող գույքը և «ՅՈՒՆԻՈՆ-ՍԵՐՎԻՍ» ՍՊԸ-ին պատկանող՝ քաղ. Երևան, Արաբկիր, Կոմիտասի պողոտա 53, 53/9 և 53/10 հասցեներում գտնվող անշարժ գույքերը </t>
  </si>
  <si>
    <t>«Հայ-Ալմաստ» ՓԲԸ</t>
  </si>
  <si>
    <t>Կայունացման դեպոզիտ հաշիվ (եվրոբոնդ)</t>
  </si>
  <si>
    <t xml:space="preserve">Համաձայն ՀՀ կառ.24.12.20թ. 2174-Ն որոշման, 25.12.2020թ.-ին կնքվել է համաձայնագիր, որով փոփոխվել են  վարկի մարման ժամկետն ու տոկոսը </t>
  </si>
  <si>
    <t xml:space="preserve">Համաձայն ՀՀ կառ.24.12.20թ. 2176-Ա որոշման, 25.12.2020թ.-ին կնքվել է համաձայնագիր, որով փոփոխվել են վարկի մարման ժամկետն ու տոկոսը </t>
  </si>
  <si>
    <t xml:space="preserve">   ՀՀ կառավարության 26․03․2020թ․ 356-Լ որոշում, ՀՀ կառավարության 31․03․2020թ․ 416-Լ որոշում           Գործակալական պայմանագիր 12.05.2020թ. 16/120520-1</t>
  </si>
  <si>
    <t xml:space="preserve">      ՀՀ կառավարության 26․03․2020թ․ 356-Լ որոշում, ՀՀ կառավարության 31․03․2020թ․ 416-Լ որոշում,          Գործակալական պայմանագիր 22.04.2020թ. 16/220420-1      </t>
  </si>
  <si>
    <t xml:space="preserve">      ՀՀ կառավարության 26․03․2020թ․ 356-Լ որոշում, ՀՀ կառավարության 25․03․2020թ․ 417-Լ որոշում,          Գործակալական պայմանագիր 05.04.2021թ. 16.1/050421-1      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</si>
  <si>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31.03.2024թ. դրությամբ </t>
  </si>
  <si>
    <t>ՀՀ կառավարության 15.07.2021թ. թիվ 1168-լ որոշմման հիման վրա գյուղատնտեսական հումքի մթերումների համար վարկերի  ներգրավման նպատակով  տրված բյուջետային երաշխիքների վերաբերյալ՝ 31.03.24թ. դրությամբ</t>
  </si>
  <si>
    <t>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</si>
</sst>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р_._-;\-* #,##0.00_р_._-;_-* &quot;-&quot;??_р_._-;_-@_-"/>
    <numFmt numFmtId="165" formatCode="_(* #,##0_);_(* \(#,##0\);_(* &quot;-&quot;??_);_(@_)"/>
    <numFmt numFmtId="166" formatCode="0.0%"/>
    <numFmt numFmtId="167" formatCode="0.000%"/>
    <numFmt numFmtId="168" formatCode="_(* #,##0.0_);_(* \(#,##0.0\);_(* &quot;-&quot;??_);_(@_)"/>
    <numFmt numFmtId="169" formatCode="0.000"/>
    <numFmt numFmtId="170" formatCode="_(* #,##0.000_);_(* \(#,##0.000\);_(* &quot;-&quot;??_);_(@_)"/>
    <numFmt numFmtId="171" formatCode="_(* #,##0.0_);_(* \(#,##0.0\);_(* &quot;-&quot;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6"/>
      <name val="GHEA Grapalat"/>
      <family val="3"/>
    </font>
    <font>
      <sz val="16"/>
      <name val="GHEA Grapalat"/>
      <family val="3"/>
    </font>
    <font>
      <b/>
      <sz val="14"/>
      <name val="GHEA Grapalat"/>
      <family val="3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i/>
      <sz val="14"/>
      <name val="GHEA Grapalat"/>
      <family val="3"/>
    </font>
    <font>
      <b/>
      <sz val="12"/>
      <name val="GHEA Grapalat"/>
      <family val="3"/>
    </font>
    <font>
      <b/>
      <sz val="13"/>
      <name val="GHEA Grapalat"/>
      <family val="3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4" fillId="0" borderId="0"/>
    <xf numFmtId="0" fontId="21" fillId="0" borderId="0"/>
  </cellStyleXfs>
  <cellXfs count="420">
    <xf numFmtId="0" fontId="0" fillId="0" borderId="0" xfId="0"/>
    <xf numFmtId="43" fontId="8" fillId="2" borderId="0" xfId="2" applyFont="1" applyFill="1" applyAlignment="1" applyProtection="1"/>
    <xf numFmtId="0" fontId="8" fillId="2" borderId="0" xfId="1" applyFont="1" applyFill="1" applyAlignment="1" applyProtection="1"/>
    <xf numFmtId="43" fontId="9" fillId="2" borderId="0" xfId="2" applyFont="1" applyFill="1" applyProtection="1"/>
    <xf numFmtId="0" fontId="9" fillId="2" borderId="0" xfId="1" applyFont="1" applyFill="1" applyProtection="1"/>
    <xf numFmtId="43" fontId="2" fillId="2" borderId="0" xfId="2" applyFont="1" applyFill="1" applyProtection="1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centerContinuous"/>
    </xf>
    <xf numFmtId="43" fontId="2" fillId="2" borderId="0" xfId="2" applyFont="1" applyFill="1" applyBorder="1" applyProtection="1"/>
    <xf numFmtId="0" fontId="2" fillId="2" borderId="0" xfId="1" applyFont="1" applyFill="1" applyBorder="1" applyProtection="1"/>
    <xf numFmtId="165" fontId="8" fillId="2" borderId="14" xfId="4" applyNumberFormat="1" applyFont="1" applyFill="1" applyBorder="1" applyAlignment="1" applyProtection="1">
      <alignment vertical="center"/>
    </xf>
    <xf numFmtId="165" fontId="8" fillId="2" borderId="2" xfId="4" applyNumberFormat="1" applyFont="1" applyFill="1" applyBorder="1" applyAlignment="1" applyProtection="1">
      <alignment vertical="center"/>
    </xf>
    <xf numFmtId="165" fontId="8" fillId="2" borderId="10" xfId="4" applyNumberFormat="1" applyFont="1" applyFill="1" applyBorder="1" applyAlignment="1" applyProtection="1">
      <alignment vertical="center"/>
    </xf>
    <xf numFmtId="165" fontId="8" fillId="2" borderId="17" xfId="4" applyNumberFormat="1" applyFont="1" applyFill="1" applyBorder="1" applyAlignment="1" applyProtection="1">
      <alignment vertical="center"/>
    </xf>
    <xf numFmtId="165" fontId="8" fillId="2" borderId="3" xfId="4" applyNumberFormat="1" applyFont="1" applyFill="1" applyBorder="1" applyAlignment="1" applyProtection="1">
      <alignment vertical="center"/>
    </xf>
    <xf numFmtId="43" fontId="9" fillId="2" borderId="0" xfId="9" applyFont="1" applyFill="1" applyProtection="1"/>
    <xf numFmtId="43" fontId="2" fillId="2" borderId="0" xfId="1" applyNumberFormat="1" applyFont="1" applyFill="1" applyProtection="1"/>
    <xf numFmtId="165" fontId="2" fillId="2" borderId="0" xfId="4" applyNumberFormat="1" applyFont="1" applyFill="1" applyProtection="1"/>
    <xf numFmtId="0" fontId="2" fillId="2" borderId="0" xfId="1" applyFont="1" applyFill="1" applyAlignment="1" applyProtection="1">
      <alignment horizontal="center"/>
    </xf>
    <xf numFmtId="170" fontId="2" fillId="2" borderId="0" xfId="1" applyNumberFormat="1" applyFont="1" applyFill="1" applyProtection="1"/>
    <xf numFmtId="1" fontId="2" fillId="2" borderId="0" xfId="1" applyNumberFormat="1" applyFont="1" applyFill="1" applyAlignment="1" applyProtection="1">
      <alignment horizontal="center"/>
    </xf>
    <xf numFmtId="0" fontId="2" fillId="2" borderId="0" xfId="1" applyNumberFormat="1" applyFont="1" applyFill="1" applyAlignment="1" applyProtection="1">
      <alignment horizontal="centerContinuous"/>
    </xf>
    <xf numFmtId="10" fontId="2" fillId="2" borderId="0" xfId="6" applyNumberFormat="1" applyFont="1" applyFill="1" applyAlignment="1" applyProtection="1">
      <alignment horizontal="centerContinuous"/>
    </xf>
    <xf numFmtId="0" fontId="8" fillId="2" borderId="19" xfId="1" applyFont="1" applyFill="1" applyBorder="1" applyAlignment="1" applyProtection="1">
      <alignment horizontal="center" vertical="center" wrapText="1"/>
    </xf>
    <xf numFmtId="0" fontId="8" fillId="2" borderId="20" xfId="1" applyFont="1" applyFill="1" applyBorder="1" applyAlignment="1" applyProtection="1">
      <alignment horizontal="center" vertical="center" wrapText="1"/>
    </xf>
    <xf numFmtId="0" fontId="8" fillId="2" borderId="20" xfId="1" quotePrefix="1" applyNumberFormat="1" applyFont="1" applyFill="1" applyBorder="1" applyAlignment="1" applyProtection="1">
      <alignment horizontal="center" vertical="center" wrapText="1"/>
    </xf>
    <xf numFmtId="10" fontId="8" fillId="2" borderId="20" xfId="6" applyNumberFormat="1" applyFont="1" applyFill="1" applyBorder="1" applyAlignment="1" applyProtection="1">
      <alignment horizontal="center" vertical="center" wrapText="1"/>
    </xf>
    <xf numFmtId="0" fontId="8" fillId="2" borderId="1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vertical="center" wrapText="1"/>
    </xf>
    <xf numFmtId="165" fontId="2" fillId="2" borderId="3" xfId="4" applyNumberFormat="1" applyFont="1" applyFill="1" applyBorder="1" applyAlignment="1" applyProtection="1">
      <alignment vertical="center"/>
    </xf>
    <xf numFmtId="1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vertical="center" wrapText="1"/>
    </xf>
    <xf numFmtId="165" fontId="2" fillId="2" borderId="2" xfId="4" applyNumberFormat="1" applyFont="1" applyFill="1" applyBorder="1" applyAlignment="1" applyProtection="1">
      <alignment vertical="center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vertical="center" wrapText="1"/>
    </xf>
    <xf numFmtId="165" fontId="2" fillId="2" borderId="3" xfId="4" applyNumberFormat="1" applyFont="1" applyFill="1" applyBorder="1" applyAlignment="1" applyProtection="1">
      <alignment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43" fontId="2" fillId="2" borderId="2" xfId="4" applyFont="1" applyFill="1" applyBorder="1" applyAlignment="1" applyProtection="1">
      <alignment horizontal="center" vertical="center" wrapText="1"/>
    </xf>
    <xf numFmtId="165" fontId="2" fillId="2" borderId="2" xfId="3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Protection="1"/>
    <xf numFmtId="165" fontId="2" fillId="2" borderId="2" xfId="7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167" fontId="2" fillId="2" borderId="1" xfId="6" applyNumberFormat="1" applyFont="1" applyFill="1" applyBorder="1" applyAlignment="1" applyProtection="1">
      <alignment horizontal="center" vertical="center" wrapText="1"/>
    </xf>
    <xf numFmtId="43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43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/>
    </xf>
    <xf numFmtId="43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15" xfId="4" applyNumberFormat="1" applyFont="1" applyFill="1" applyBorder="1" applyAlignment="1" applyProtection="1">
      <alignment horizontal="center" vertical="center" wrapText="1"/>
    </xf>
    <xf numFmtId="165" fontId="2" fillId="2" borderId="15" xfId="4" applyNumberFormat="1" applyFont="1" applyFill="1" applyBorder="1" applyAlignment="1" applyProtection="1">
      <alignment vertical="center" wrapText="1"/>
    </xf>
    <xf numFmtId="2" fontId="8" fillId="2" borderId="17" xfId="1" applyNumberFormat="1" applyFont="1" applyFill="1" applyBorder="1" applyAlignment="1" applyProtection="1">
      <alignment vertical="center"/>
    </xf>
    <xf numFmtId="2" fontId="8" fillId="2" borderId="2" xfId="1" applyNumberFormat="1" applyFont="1" applyFill="1" applyBorder="1" applyAlignment="1" applyProtection="1">
      <alignment vertical="center"/>
    </xf>
    <xf numFmtId="2" fontId="8" fillId="2" borderId="1" xfId="1" applyNumberFormat="1" applyFont="1" applyFill="1" applyBorder="1" applyAlignment="1" applyProtection="1">
      <alignment vertical="center"/>
    </xf>
    <xf numFmtId="165" fontId="8" fillId="2" borderId="15" xfId="4" applyNumberFormat="1" applyFont="1" applyFill="1" applyBorder="1" applyAlignment="1" applyProtection="1">
      <alignment vertical="center"/>
    </xf>
    <xf numFmtId="2" fontId="8" fillId="2" borderId="10" xfId="1" applyNumberFormat="1" applyFont="1" applyFill="1" applyBorder="1" applyAlignment="1" applyProtection="1">
      <alignment vertical="center"/>
    </xf>
    <xf numFmtId="0" fontId="2" fillId="2" borderId="2" xfId="1" quotePrefix="1" applyNumberFormat="1" applyFont="1" applyFill="1" applyBorder="1" applyAlignment="1" applyProtection="1">
      <alignment horizontal="center" vertical="center" wrapText="1"/>
    </xf>
    <xf numFmtId="9" fontId="9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2" applyNumberFormat="1" applyFont="1" applyFill="1" applyBorder="1" applyAlignment="1" applyProtection="1">
      <alignment horizontal="left" vertical="center" wrapText="1"/>
    </xf>
    <xf numFmtId="9" fontId="2" fillId="2" borderId="2" xfId="8" applyFont="1" applyFill="1" applyBorder="1" applyAlignment="1" applyProtection="1">
      <alignment horizontal="center" vertical="center" wrapText="1"/>
    </xf>
    <xf numFmtId="166" fontId="2" fillId="2" borderId="2" xfId="8" applyNumberFormat="1" applyFont="1" applyFill="1" applyBorder="1" applyAlignment="1" applyProtection="1">
      <alignment horizontal="center" vertical="center" wrapText="1"/>
    </xf>
    <xf numFmtId="167" fontId="2" fillId="2" borderId="2" xfId="8" applyNumberFormat="1" applyFont="1" applyFill="1" applyBorder="1" applyAlignment="1" applyProtection="1">
      <alignment horizontal="center" vertical="center" wrapText="1"/>
    </xf>
    <xf numFmtId="165" fontId="2" fillId="2" borderId="1" xfId="3" applyNumberFormat="1" applyFont="1" applyFill="1" applyBorder="1" applyAlignment="1" applyProtection="1">
      <alignment horizontal="center" vertical="center" wrapText="1"/>
    </xf>
    <xf numFmtId="10" fontId="2" fillId="2" borderId="1" xfId="8" applyNumberFormat="1" applyFont="1" applyFill="1" applyBorder="1" applyAlignment="1" applyProtection="1">
      <alignment horizontal="center" vertical="center" wrapText="1"/>
    </xf>
    <xf numFmtId="166" fontId="2" fillId="2" borderId="1" xfId="8" applyNumberFormat="1" applyFont="1" applyFill="1" applyBorder="1" applyAlignment="1" applyProtection="1">
      <alignment horizontal="center" vertical="center" wrapText="1"/>
    </xf>
    <xf numFmtId="168" fontId="2" fillId="2" borderId="2" xfId="4" applyNumberFormat="1" applyFont="1" applyFill="1" applyBorder="1" applyAlignment="1" applyProtection="1">
      <alignment horizontal="center" vertical="center" wrapText="1"/>
    </xf>
    <xf numFmtId="165" fontId="2" fillId="2" borderId="1" xfId="2" applyNumberFormat="1" applyFont="1" applyFill="1" applyBorder="1" applyAlignment="1" applyProtection="1">
      <alignment horizontal="left" vertical="center" wrapText="1"/>
    </xf>
    <xf numFmtId="0" fontId="2" fillId="2" borderId="17" xfId="1" applyFont="1" applyFill="1" applyBorder="1" applyAlignment="1" applyProtection="1">
      <alignment horizontal="center" vertical="center" wrapText="1"/>
    </xf>
    <xf numFmtId="166" fontId="2" fillId="2" borderId="15" xfId="6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9" fontId="2" fillId="2" borderId="37" xfId="1" applyNumberFormat="1" applyFont="1" applyFill="1" applyBorder="1" applyAlignment="1" applyProtection="1">
      <alignment horizontal="center" vertical="center" wrapText="1"/>
    </xf>
    <xf numFmtId="2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0" xfId="4" applyNumberFormat="1" applyFont="1" applyFill="1" applyBorder="1" applyAlignment="1" applyProtection="1">
      <alignment horizontal="center" vertical="center" wrapText="1"/>
    </xf>
    <xf numFmtId="165" fontId="2" fillId="2" borderId="10" xfId="3" applyNumberFormat="1" applyFont="1" applyFill="1" applyBorder="1" applyAlignment="1" applyProtection="1">
      <alignment horizontal="center" vertical="center" wrapText="1"/>
    </xf>
    <xf numFmtId="166" fontId="2" fillId="2" borderId="10" xfId="6" applyNumberFormat="1" applyFont="1" applyFill="1" applyBorder="1" applyAlignment="1" applyProtection="1">
      <alignment horizontal="center" vertical="center" wrapText="1"/>
    </xf>
    <xf numFmtId="165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5" xfId="2" applyNumberFormat="1" applyFont="1" applyFill="1" applyBorder="1" applyAlignment="1" applyProtection="1">
      <alignment horizontal="left" vertical="center" wrapText="1"/>
    </xf>
    <xf numFmtId="2" fontId="8" fillId="2" borderId="3" xfId="1" applyNumberFormat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horizontal="center" vertical="center" wrapText="1"/>
    </xf>
    <xf numFmtId="1" fontId="2" fillId="2" borderId="19" xfId="1" applyNumberFormat="1" applyFont="1" applyFill="1" applyBorder="1" applyAlignment="1" applyProtection="1">
      <alignment horizontal="center" vertical="center" wrapText="1"/>
    </xf>
    <xf numFmtId="0" fontId="2" fillId="2" borderId="20" xfId="1" applyFont="1" applyFill="1" applyBorder="1" applyAlignment="1" applyProtection="1">
      <alignment horizontal="center" vertical="center" wrapText="1"/>
    </xf>
    <xf numFmtId="165" fontId="2" fillId="2" borderId="20" xfId="4" applyNumberFormat="1" applyFont="1" applyFill="1" applyBorder="1" applyAlignment="1" applyProtection="1">
      <alignment horizontal="center" vertical="center" wrapText="1"/>
    </xf>
    <xf numFmtId="165" fontId="2" fillId="2" borderId="20" xfId="3" applyNumberFormat="1" applyFont="1" applyFill="1" applyBorder="1" applyAlignment="1" applyProtection="1">
      <alignment horizontal="center" vertical="center" wrapText="1"/>
    </xf>
    <xf numFmtId="165" fontId="2" fillId="2" borderId="6" xfId="2" applyNumberFormat="1" applyFont="1" applyFill="1" applyBorder="1" applyAlignment="1" applyProtection="1">
      <alignment horizontal="left" vertical="center" wrapText="1"/>
    </xf>
    <xf numFmtId="1" fontId="10" fillId="2" borderId="0" xfId="1" applyNumberFormat="1" applyFont="1" applyFill="1" applyAlignment="1" applyProtection="1">
      <alignment horizontal="center"/>
    </xf>
    <xf numFmtId="0" fontId="10" fillId="2" borderId="0" xfId="1" applyFont="1" applyFill="1" applyProtection="1"/>
    <xf numFmtId="0" fontId="2" fillId="2" borderId="0" xfId="1" applyNumberFormat="1" applyFont="1" applyFill="1" applyProtection="1"/>
    <xf numFmtId="2" fontId="8" fillId="2" borderId="0" xfId="1" applyNumberFormat="1" applyFont="1" applyFill="1" applyBorder="1" applyAlignment="1" applyProtection="1">
      <alignment vertical="center"/>
    </xf>
    <xf numFmtId="10" fontId="2" fillId="2" borderId="0" xfId="6" applyNumberFormat="1" applyFont="1" applyFill="1" applyProtection="1"/>
    <xf numFmtId="165" fontId="2" fillId="2" borderId="0" xfId="1" applyNumberFormat="1" applyFont="1" applyFill="1" applyProtection="1"/>
    <xf numFmtId="165" fontId="2" fillId="2" borderId="0" xfId="6" applyNumberFormat="1" applyFont="1" applyFill="1" applyProtection="1"/>
    <xf numFmtId="43" fontId="2" fillId="2" borderId="0" xfId="4" applyNumberFormat="1" applyFont="1" applyFill="1" applyProtection="1"/>
    <xf numFmtId="165" fontId="2" fillId="2" borderId="0" xfId="9" applyNumberFormat="1" applyFont="1" applyFill="1" applyAlignment="1" applyProtection="1"/>
    <xf numFmtId="169" fontId="10" fillId="2" borderId="0" xfId="1" applyNumberFormat="1" applyFont="1" applyFill="1" applyProtection="1"/>
    <xf numFmtId="165" fontId="2" fillId="2" borderId="0" xfId="9" applyNumberFormat="1" applyFont="1" applyFill="1" applyProtection="1"/>
    <xf numFmtId="43" fontId="8" fillId="2" borderId="0" xfId="1" applyNumberFormat="1" applyFont="1" applyFill="1" applyAlignment="1" applyProtection="1"/>
    <xf numFmtId="0" fontId="2" fillId="2" borderId="3" xfId="1" quotePrefix="1" applyNumberFormat="1" applyFont="1" applyFill="1" applyBorder="1" applyAlignment="1" applyProtection="1">
      <alignment horizontal="center" vertical="center" wrapText="1"/>
    </xf>
    <xf numFmtId="10" fontId="2" fillId="2" borderId="2" xfId="8" applyNumberFormat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/>
    </xf>
    <xf numFmtId="10" fontId="2" fillId="2" borderId="20" xfId="8" applyNumberFormat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9" fontId="2" fillId="2" borderId="15" xfId="1" applyNumberFormat="1" applyFont="1" applyFill="1" applyBorder="1" applyAlignment="1" applyProtection="1">
      <alignment horizontal="center" vertical="center" wrapText="1"/>
    </xf>
    <xf numFmtId="9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6" xfId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1" fontId="2" fillId="2" borderId="16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1" fontId="2" fillId="2" borderId="41" xfId="1" applyNumberFormat="1" applyFont="1" applyFill="1" applyBorder="1" applyAlignment="1" applyProtection="1">
      <alignment horizontal="center" vertical="center" wrapText="1"/>
    </xf>
    <xf numFmtId="165" fontId="8" fillId="2" borderId="38" xfId="4" applyNumberFormat="1" applyFont="1" applyFill="1" applyBorder="1" applyAlignment="1" applyProtection="1">
      <alignment vertical="center"/>
    </xf>
    <xf numFmtId="165" fontId="8" fillId="2" borderId="16" xfId="4" applyNumberFormat="1" applyFont="1" applyFill="1" applyBorder="1" applyAlignment="1" applyProtection="1">
      <alignment vertical="center"/>
    </xf>
    <xf numFmtId="165" fontId="8" fillId="2" borderId="41" xfId="4" applyNumberFormat="1" applyFont="1" applyFill="1" applyBorder="1" applyAlignment="1" applyProtection="1">
      <alignment vertical="center"/>
    </xf>
    <xf numFmtId="165" fontId="8" fillId="2" borderId="36" xfId="4" applyNumberFormat="1" applyFont="1" applyFill="1" applyBorder="1" applyAlignment="1" applyProtection="1">
      <alignment vertical="center"/>
    </xf>
    <xf numFmtId="1" fontId="2" fillId="2" borderId="42" xfId="1" applyNumberFormat="1" applyFont="1" applyFill="1" applyBorder="1" applyAlignment="1" applyProtection="1">
      <alignment horizontal="center" vertical="center" wrapText="1"/>
    </xf>
    <xf numFmtId="165" fontId="8" fillId="2" borderId="27" xfId="4" applyNumberFormat="1" applyFont="1" applyFill="1" applyBorder="1" applyAlignment="1" applyProtection="1">
      <alignment vertical="center"/>
    </xf>
    <xf numFmtId="0" fontId="2" fillId="2" borderId="46" xfId="1" applyFont="1" applyFill="1" applyBorder="1" applyAlignment="1" applyProtection="1">
      <alignment horizontal="center" vertical="center" wrapText="1"/>
    </xf>
    <xf numFmtId="170" fontId="2" fillId="2" borderId="0" xfId="0" applyNumberFormat="1" applyFont="1" applyFill="1" applyProtection="1"/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170" fontId="2" fillId="2" borderId="0" xfId="18" applyNumberFormat="1" applyFont="1" applyFill="1" applyProtection="1"/>
    <xf numFmtId="0" fontId="8" fillId="2" borderId="6" xfId="1" applyFont="1" applyFill="1" applyBorder="1" applyAlignment="1" applyProtection="1">
      <alignment horizontal="center" vertical="center" wrapText="1"/>
    </xf>
    <xf numFmtId="165" fontId="2" fillId="2" borderId="3" xfId="3" applyNumberFormat="1" applyFont="1" applyFill="1" applyBorder="1" applyAlignment="1" applyProtection="1">
      <alignment horizontal="center" vertical="center" wrapText="1"/>
    </xf>
    <xf numFmtId="43" fontId="2" fillId="2" borderId="47" xfId="2" applyFont="1" applyFill="1" applyBorder="1" applyProtection="1"/>
    <xf numFmtId="0" fontId="2" fillId="2" borderId="10" xfId="1" applyFont="1" applyFill="1" applyBorder="1" applyAlignment="1" applyProtection="1">
      <alignment horizontal="center" vertical="center" wrapText="1"/>
    </xf>
    <xf numFmtId="1" fontId="2" fillId="2" borderId="36" xfId="1" applyNumberFormat="1" applyFont="1" applyFill="1" applyBorder="1" applyAlignment="1" applyProtection="1">
      <alignment horizontal="center" vertical="center" wrapText="1"/>
    </xf>
    <xf numFmtId="43" fontId="2" fillId="2" borderId="34" xfId="2" applyFont="1" applyFill="1" applyBorder="1" applyProtection="1"/>
    <xf numFmtId="43" fontId="2" fillId="2" borderId="31" xfId="2" applyFont="1" applyFill="1" applyBorder="1" applyProtection="1"/>
    <xf numFmtId="43" fontId="2" fillId="2" borderId="31" xfId="2" applyFont="1" applyFill="1" applyBorder="1" applyAlignment="1" applyProtection="1">
      <alignment horizontal="center" vertical="center" wrapText="1"/>
    </xf>
    <xf numFmtId="43" fontId="2" fillId="2" borderId="32" xfId="2" applyFont="1" applyFill="1" applyBorder="1" applyProtection="1"/>
    <xf numFmtId="43" fontId="2" fillId="2" borderId="31" xfId="2" applyFont="1" applyFill="1" applyBorder="1" applyAlignment="1" applyProtection="1">
      <alignment horizontal="justify" vertical="center" wrapText="1"/>
    </xf>
    <xf numFmtId="0" fontId="2" fillId="2" borderId="47" xfId="1" applyFont="1" applyFill="1" applyBorder="1" applyAlignment="1" applyProtection="1">
      <alignment horizontal="left" vertical="center" wrapText="1"/>
    </xf>
    <xf numFmtId="0" fontId="2" fillId="2" borderId="31" xfId="1" applyFont="1" applyFill="1" applyBorder="1" applyAlignment="1" applyProtection="1">
      <alignment horizontal="left" vertical="center" wrapText="1"/>
    </xf>
    <xf numFmtId="43" fontId="2" fillId="2" borderId="32" xfId="2" applyFont="1" applyFill="1" applyBorder="1" applyAlignment="1" applyProtection="1">
      <alignment horizontal="center"/>
    </xf>
    <xf numFmtId="0" fontId="2" fillId="2" borderId="31" xfId="1" applyFont="1" applyFill="1" applyBorder="1" applyAlignment="1" applyProtection="1">
      <alignment horizontal="center" vertical="center" wrapText="1"/>
    </xf>
    <xf numFmtId="43" fontId="2" fillId="2" borderId="47" xfId="2" applyFont="1" applyFill="1" applyBorder="1" applyAlignment="1" applyProtection="1">
      <alignment horizontal="justify" vertical="center" wrapText="1"/>
    </xf>
    <xf numFmtId="43" fontId="2" fillId="2" borderId="31" xfId="9" applyFont="1" applyFill="1" applyBorder="1" applyProtection="1"/>
    <xf numFmtId="43" fontId="2" fillId="2" borderId="18" xfId="2" applyFont="1" applyFill="1" applyBorder="1" applyProtection="1"/>
    <xf numFmtId="1" fontId="2" fillId="2" borderId="10" xfId="1" applyNumberFormat="1" applyFont="1" applyFill="1" applyBorder="1" applyAlignment="1" applyProtection="1">
      <alignment horizontal="center" vertical="center" wrapText="1"/>
    </xf>
    <xf numFmtId="1" fontId="2" fillId="2" borderId="48" xfId="1" applyNumberFormat="1" applyFont="1" applyFill="1" applyBorder="1" applyAlignment="1" applyProtection="1">
      <alignment horizontal="center" vertical="center" wrapText="1"/>
    </xf>
    <xf numFmtId="0" fontId="2" fillId="2" borderId="19" xfId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65" fontId="2" fillId="2" borderId="0" xfId="4" applyNumberFormat="1" applyFont="1" applyFill="1" applyBorder="1" applyAlignment="1" applyProtection="1">
      <alignment horizontal="center" vertical="center" wrapText="1"/>
    </xf>
    <xf numFmtId="165" fontId="2" fillId="2" borderId="0" xfId="3" applyNumberFormat="1" applyFont="1" applyFill="1" applyBorder="1" applyAlignment="1" applyProtection="1">
      <alignment horizontal="center" vertical="center" wrapText="1"/>
    </xf>
    <xf numFmtId="10" fontId="2" fillId="2" borderId="0" xfId="8" applyNumberFormat="1" applyFont="1" applyFill="1" applyBorder="1" applyAlignment="1" applyProtection="1">
      <alignment horizontal="center" vertical="center" wrapText="1"/>
    </xf>
    <xf numFmtId="165" fontId="2" fillId="2" borderId="0" xfId="2" applyNumberFormat="1" applyFont="1" applyFill="1" applyBorder="1" applyAlignment="1" applyProtection="1">
      <alignment horizontal="left" vertical="center" wrapText="1"/>
    </xf>
    <xf numFmtId="0" fontId="22" fillId="0" borderId="0" xfId="0" applyFont="1"/>
    <xf numFmtId="171" fontId="22" fillId="0" borderId="0" xfId="0" applyNumberFormat="1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68" fontId="8" fillId="0" borderId="17" xfId="12" applyNumberFormat="1" applyFont="1" applyFill="1" applyBorder="1" applyAlignment="1">
      <alignment horizontal="center" vertical="center" wrapText="1"/>
    </xf>
    <xf numFmtId="168" fontId="8" fillId="0" borderId="33" xfId="1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8" fontId="2" fillId="0" borderId="2" xfId="12" applyNumberFormat="1" applyFont="1" applyFill="1" applyBorder="1" applyAlignment="1">
      <alignment horizontal="center" vertical="center" wrapText="1"/>
    </xf>
    <xf numFmtId="168" fontId="2" fillId="0" borderId="31" xfId="1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168" fontId="2" fillId="0" borderId="2" xfId="12" applyNumberFormat="1" applyFont="1" applyFill="1" applyBorder="1" applyAlignment="1">
      <alignment horizontal="justify" vertical="center" wrapText="1"/>
    </xf>
    <xf numFmtId="168" fontId="2" fillId="0" borderId="0" xfId="12" applyNumberFormat="1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8" fontId="2" fillId="0" borderId="1" xfId="12" applyNumberFormat="1" applyFont="1" applyFill="1" applyBorder="1" applyAlignment="1">
      <alignment horizontal="justify" vertical="center" wrapText="1"/>
    </xf>
    <xf numFmtId="0" fontId="10" fillId="0" borderId="0" xfId="0" applyFont="1" applyFill="1"/>
    <xf numFmtId="165" fontId="2" fillId="0" borderId="10" xfId="12" applyNumberFormat="1" applyFont="1" applyFill="1" applyBorder="1" applyAlignment="1">
      <alignment horizontal="justify" vertical="center" wrapText="1"/>
    </xf>
    <xf numFmtId="168" fontId="2" fillId="0" borderId="34" xfId="12" applyNumberFormat="1" applyFont="1" applyFill="1" applyBorder="1" applyAlignment="1">
      <alignment horizontal="justify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9" fontId="2" fillId="2" borderId="15" xfId="1" applyNumberFormat="1" applyFont="1" applyFill="1" applyBorder="1" applyAlignment="1" applyProtection="1">
      <alignment horizontal="center" vertical="center" wrapText="1"/>
    </xf>
    <xf numFmtId="9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/>
    </xf>
    <xf numFmtId="0" fontId="2" fillId="2" borderId="32" xfId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9" fontId="2" fillId="2" borderId="4" xfId="1" applyNumberFormat="1" applyFont="1" applyFill="1" applyBorder="1" applyAlignment="1" applyProtection="1">
      <alignment horizontal="center" vertical="center" wrapText="1"/>
    </xf>
    <xf numFmtId="9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0" xfId="2" applyNumberFormat="1" applyFont="1" applyFill="1" applyBorder="1" applyAlignment="1" applyProtection="1">
      <alignment horizontal="left" vertical="center" wrapText="1"/>
    </xf>
    <xf numFmtId="165" fontId="8" fillId="2" borderId="33" xfId="4" applyNumberFormat="1" applyFont="1" applyFill="1" applyBorder="1" applyAlignment="1" applyProtection="1">
      <alignment vertical="center"/>
    </xf>
    <xf numFmtId="165" fontId="8" fillId="2" borderId="31" xfId="4" applyNumberFormat="1" applyFont="1" applyFill="1" applyBorder="1" applyAlignment="1" applyProtection="1">
      <alignment vertical="center"/>
    </xf>
    <xf numFmtId="165" fontId="8" fillId="2" borderId="32" xfId="4" applyNumberFormat="1" applyFont="1" applyFill="1" applyBorder="1" applyAlignment="1" applyProtection="1">
      <alignment vertical="center"/>
    </xf>
    <xf numFmtId="165" fontId="8" fillId="2" borderId="34" xfId="4" applyNumberFormat="1" applyFont="1" applyFill="1" applyBorder="1" applyAlignment="1" applyProtection="1">
      <alignment vertical="center"/>
    </xf>
    <xf numFmtId="1" fontId="2" fillId="2" borderId="31" xfId="1" applyNumberFormat="1" applyFont="1" applyFill="1" applyBorder="1" applyAlignment="1" applyProtection="1">
      <alignment horizontal="center" vertical="center" wrapText="1"/>
    </xf>
    <xf numFmtId="1" fontId="2" fillId="2" borderId="32" xfId="1" applyNumberFormat="1" applyFont="1" applyFill="1" applyBorder="1" applyAlignment="1" applyProtection="1">
      <alignment horizontal="center" vertical="center" wrapText="1"/>
    </xf>
    <xf numFmtId="1" fontId="2" fillId="2" borderId="49" xfId="1" applyNumberFormat="1" applyFont="1" applyFill="1" applyBorder="1" applyAlignment="1" applyProtection="1">
      <alignment horizontal="center" vertical="center" wrapText="1"/>
    </xf>
    <xf numFmtId="1" fontId="2" fillId="2" borderId="34" xfId="1" applyNumberFormat="1" applyFont="1" applyFill="1" applyBorder="1" applyAlignment="1" applyProtection="1">
      <alignment horizontal="center" vertical="center" wrapText="1"/>
    </xf>
    <xf numFmtId="165" fontId="8" fillId="2" borderId="47" xfId="4" applyNumberFormat="1" applyFont="1" applyFill="1" applyBorder="1" applyAlignment="1" applyProtection="1">
      <alignment vertical="center"/>
    </xf>
    <xf numFmtId="0" fontId="2" fillId="2" borderId="18" xfId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5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168" fontId="10" fillId="0" borderId="31" xfId="12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8" fontId="23" fillId="0" borderId="10" xfId="0" applyNumberFormat="1" applyFont="1" applyBorder="1" applyAlignment="1">
      <alignment horizontal="center" vertical="center" wrapText="1"/>
    </xf>
    <xf numFmtId="168" fontId="23" fillId="0" borderId="34" xfId="0" applyNumberFormat="1" applyFont="1" applyBorder="1" applyAlignment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9" fontId="2" fillId="2" borderId="15" xfId="1" applyNumberFormat="1" applyFont="1" applyFill="1" applyBorder="1" applyAlignment="1" applyProtection="1">
      <alignment horizontal="center" vertical="center" wrapText="1"/>
    </xf>
    <xf numFmtId="9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/>
    </xf>
    <xf numFmtId="165" fontId="2" fillId="2" borderId="15" xfId="4" applyNumberFormat="1" applyFont="1" applyFill="1" applyBorder="1" applyAlignment="1" applyProtection="1">
      <alignment horizontal="center" vertical="center"/>
    </xf>
    <xf numFmtId="165" fontId="2" fillId="2" borderId="3" xfId="4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66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166" fontId="2" fillId="2" borderId="3" xfId="6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1" xfId="1" applyFont="1" applyFill="1" applyBorder="1" applyAlignment="1" applyProtection="1">
      <alignment horizontal="center" vertical="center" wrapText="1"/>
    </xf>
    <xf numFmtId="1" fontId="2" fillId="2" borderId="23" xfId="1" applyNumberFormat="1" applyFont="1" applyFill="1" applyBorder="1" applyAlignment="1" applyProtection="1">
      <alignment horizontal="center" vertical="center" wrapText="1"/>
    </xf>
    <xf numFmtId="0" fontId="2" fillId="2" borderId="23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10" fontId="2" fillId="2" borderId="23" xfId="6" applyNumberFormat="1" applyFont="1" applyFill="1" applyBorder="1" applyAlignment="1" applyProtection="1">
      <alignment horizontal="center" vertical="center" wrapText="1"/>
    </xf>
    <xf numFmtId="1" fontId="13" fillId="2" borderId="35" xfId="1" applyNumberFormat="1" applyFont="1" applyFill="1" applyBorder="1" applyAlignment="1" applyProtection="1">
      <alignment horizontal="center" vertical="center" wrapText="1"/>
    </xf>
    <xf numFmtId="1" fontId="13" fillId="2" borderId="17" xfId="1" applyNumberFormat="1" applyFont="1" applyFill="1" applyBorder="1" applyAlignment="1" applyProtection="1">
      <alignment horizontal="center" vertical="center" wrapText="1"/>
    </xf>
    <xf numFmtId="1" fontId="13" fillId="2" borderId="7" xfId="1" applyNumberFormat="1" applyFont="1" applyFill="1" applyBorder="1" applyAlignment="1" applyProtection="1">
      <alignment horizontal="center" vertical="center" wrapText="1"/>
    </xf>
    <xf numFmtId="1" fontId="13" fillId="2" borderId="2" xfId="1" applyNumberFormat="1" applyFont="1" applyFill="1" applyBorder="1" applyAlignment="1" applyProtection="1">
      <alignment horizontal="center" vertical="center" wrapText="1"/>
    </xf>
    <xf numFmtId="2" fontId="8" fillId="2" borderId="17" xfId="1" applyNumberFormat="1" applyFont="1" applyFill="1" applyBorder="1" applyAlignment="1" applyProtection="1">
      <alignment horizontal="center" vertical="center"/>
    </xf>
    <xf numFmtId="2" fontId="8" fillId="2" borderId="2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2" fontId="8" fillId="2" borderId="36" xfId="1" applyNumberFormat="1" applyFont="1" applyFill="1" applyBorder="1" applyAlignment="1" applyProtection="1">
      <alignment horizontal="center" vertical="center"/>
    </xf>
    <xf numFmtId="2" fontId="8" fillId="2" borderId="30" xfId="1" applyNumberFormat="1" applyFont="1" applyFill="1" applyBorder="1" applyAlignment="1" applyProtection="1">
      <alignment horizontal="center" vertical="center"/>
    </xf>
    <xf numFmtId="2" fontId="8" fillId="2" borderId="13" xfId="1" applyNumberFormat="1" applyFont="1" applyFill="1" applyBorder="1" applyAlignment="1" applyProtection="1">
      <alignment horizontal="center" vertical="center"/>
    </xf>
    <xf numFmtId="1" fontId="13" fillId="2" borderId="8" xfId="1" applyNumberFormat="1" applyFont="1" applyFill="1" applyBorder="1" applyAlignment="1" applyProtection="1">
      <alignment horizontal="center" vertical="center" wrapText="1"/>
    </xf>
    <xf numFmtId="1" fontId="13" fillId="2" borderId="10" xfId="1" applyNumberFormat="1" applyFont="1" applyFill="1" applyBorder="1" applyAlignment="1" applyProtection="1">
      <alignment horizontal="center" vertical="center" wrapText="1"/>
    </xf>
    <xf numFmtId="2" fontId="8" fillId="2" borderId="10" xfId="1" applyNumberFormat="1" applyFont="1" applyFill="1" applyBorder="1" applyAlignment="1" applyProtection="1">
      <alignment horizontal="center" vertical="center"/>
    </xf>
    <xf numFmtId="0" fontId="2" fillId="2" borderId="22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center" wrapText="1"/>
    </xf>
    <xf numFmtId="1" fontId="13" fillId="2" borderId="9" xfId="1" applyNumberFormat="1" applyFont="1" applyFill="1" applyBorder="1" applyAlignment="1" applyProtection="1">
      <alignment horizontal="center" vertical="center" wrapText="1"/>
    </xf>
    <xf numFmtId="1" fontId="13" fillId="2" borderId="3" xfId="1" applyNumberFormat="1" applyFont="1" applyFill="1" applyBorder="1" applyAlignment="1" applyProtection="1">
      <alignment horizontal="center" vertical="center" wrapText="1"/>
    </xf>
    <xf numFmtId="2" fontId="8" fillId="2" borderId="27" xfId="1" applyNumberFormat="1" applyFont="1" applyFill="1" applyBorder="1" applyAlignment="1" applyProtection="1">
      <alignment horizontal="center" vertical="center"/>
    </xf>
    <xf numFmtId="2" fontId="8" fillId="2" borderId="4" xfId="1" applyNumberFormat="1" applyFont="1" applyFill="1" applyBorder="1" applyAlignment="1" applyProtection="1">
      <alignment horizontal="center" vertical="center"/>
    </xf>
    <xf numFmtId="2" fontId="8" fillId="2" borderId="26" xfId="1" applyNumberFormat="1" applyFont="1" applyFill="1" applyBorder="1" applyAlignment="1" applyProtection="1">
      <alignment horizontal="center" vertical="center"/>
    </xf>
    <xf numFmtId="2" fontId="8" fillId="2" borderId="16" xfId="1" applyNumberFormat="1" applyFont="1" applyFill="1" applyBorder="1" applyAlignment="1" applyProtection="1">
      <alignment horizontal="center" vertical="center"/>
    </xf>
    <xf numFmtId="2" fontId="8" fillId="2" borderId="28" xfId="1" applyNumberFormat="1" applyFont="1" applyFill="1" applyBorder="1" applyAlignment="1" applyProtection="1">
      <alignment horizontal="center" vertical="center"/>
    </xf>
    <xf numFmtId="2" fontId="8" fillId="2" borderId="12" xfId="1" applyNumberFormat="1" applyFont="1" applyFill="1" applyBorder="1" applyAlignment="1" applyProtection="1">
      <alignment horizontal="center" vertical="center"/>
    </xf>
    <xf numFmtId="0" fontId="2" fillId="2" borderId="43" xfId="1" applyFont="1" applyFill="1" applyBorder="1" applyAlignment="1" applyProtection="1">
      <alignment horizontal="center" vertical="center" wrapText="1"/>
    </xf>
    <xf numFmtId="0" fontId="2" fillId="2" borderId="42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44" xfId="1" applyFont="1" applyFill="1" applyBorder="1" applyAlignment="1" applyProtection="1">
      <alignment horizontal="center" vertical="center" wrapText="1"/>
    </xf>
    <xf numFmtId="0" fontId="2" fillId="2" borderId="37" xfId="1" applyFont="1" applyFill="1" applyBorder="1" applyAlignment="1" applyProtection="1">
      <alignment horizontal="center" vertical="center" wrapText="1"/>
    </xf>
    <xf numFmtId="0" fontId="2" fillId="2" borderId="45" xfId="1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2" fontId="8" fillId="2" borderId="24" xfId="1" applyNumberFormat="1" applyFont="1" applyFill="1" applyBorder="1" applyAlignment="1" applyProtection="1">
      <alignment horizontal="center" vertical="center"/>
    </xf>
    <xf numFmtId="1" fontId="13" fillId="2" borderId="11" xfId="1" applyNumberFormat="1" applyFont="1" applyFill="1" applyBorder="1" applyAlignment="1" applyProtection="1">
      <alignment horizontal="center" vertical="center" wrapText="1"/>
    </xf>
    <xf numFmtId="1" fontId="13" fillId="2" borderId="1" xfId="1" applyNumberFormat="1" applyFont="1" applyFill="1" applyBorder="1" applyAlignment="1" applyProtection="1">
      <alignment horizontal="center" vertical="center" wrapText="1"/>
    </xf>
    <xf numFmtId="2" fontId="8" fillId="2" borderId="38" xfId="1" applyNumberFormat="1" applyFont="1" applyFill="1" applyBorder="1" applyAlignment="1" applyProtection="1">
      <alignment horizontal="center" vertical="center"/>
    </xf>
    <xf numFmtId="2" fontId="8" fillId="2" borderId="39" xfId="1" applyNumberFormat="1" applyFont="1" applyFill="1" applyBorder="1" applyAlignment="1" applyProtection="1">
      <alignment horizontal="center" vertical="center"/>
    </xf>
    <xf numFmtId="2" fontId="8" fillId="2" borderId="40" xfId="1" applyNumberFormat="1" applyFont="1" applyFill="1" applyBorder="1" applyAlignment="1" applyProtection="1">
      <alignment horizontal="center" vertical="center"/>
    </xf>
    <xf numFmtId="1" fontId="13" fillId="2" borderId="33" xfId="1" applyNumberFormat="1" applyFont="1" applyFill="1" applyBorder="1" applyAlignment="1" applyProtection="1">
      <alignment horizontal="center" vertical="center" wrapText="1"/>
    </xf>
    <xf numFmtId="1" fontId="13" fillId="2" borderId="31" xfId="1" applyNumberFormat="1" applyFont="1" applyFill="1" applyBorder="1" applyAlignment="1" applyProtection="1">
      <alignment horizontal="center" vertical="center" wrapText="1"/>
    </xf>
    <xf numFmtId="1" fontId="13" fillId="2" borderId="32" xfId="1" applyNumberFormat="1" applyFont="1" applyFill="1" applyBorder="1" applyAlignment="1" applyProtection="1">
      <alignment horizontal="center" vertical="center" wrapText="1"/>
    </xf>
    <xf numFmtId="2" fontId="8" fillId="2" borderId="3" xfId="1" applyNumberFormat="1" applyFont="1" applyFill="1" applyBorder="1" applyAlignment="1" applyProtection="1">
      <alignment horizontal="center" vertical="center"/>
    </xf>
    <xf numFmtId="2" fontId="8" fillId="2" borderId="25" xfId="1" applyNumberFormat="1" applyFont="1" applyFill="1" applyBorder="1" applyAlignment="1" applyProtection="1">
      <alignment horizontal="center" vertical="center"/>
    </xf>
    <xf numFmtId="0" fontId="2" fillId="2" borderId="32" xfId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0" fontId="1" fillId="2" borderId="3" xfId="18" applyFont="1" applyFill="1" applyBorder="1" applyAlignment="1" applyProtection="1">
      <alignment horizontal="center" vertical="center" wrapText="1"/>
    </xf>
    <xf numFmtId="0" fontId="2" fillId="2" borderId="49" xfId="1" applyFont="1" applyFill="1" applyBorder="1" applyAlignment="1" applyProtection="1">
      <alignment horizontal="center" vertical="center" wrapText="1"/>
    </xf>
    <xf numFmtId="0" fontId="2" fillId="2" borderId="50" xfId="1" applyFont="1" applyFill="1" applyBorder="1" applyAlignment="1" applyProtection="1">
      <alignment horizontal="center" vertical="center" wrapText="1"/>
    </xf>
    <xf numFmtId="1" fontId="2" fillId="2" borderId="32" xfId="1" applyNumberFormat="1" applyFont="1" applyFill="1" applyBorder="1" applyAlignment="1" applyProtection="1">
      <alignment horizontal="center" vertical="center" wrapText="1"/>
    </xf>
    <xf numFmtId="1" fontId="2" fillId="2" borderId="49" xfId="1" applyNumberFormat="1" applyFont="1" applyFill="1" applyBorder="1" applyAlignment="1" applyProtection="1">
      <alignment horizontal="center" vertical="center" wrapText="1"/>
    </xf>
    <xf numFmtId="1" fontId="2" fillId="2" borderId="47" xfId="1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</cellXfs>
  <cellStyles count="19">
    <cellStyle name="Comma" xfId="5" builtinId="3"/>
    <cellStyle name="Comma 10" xfId="12"/>
    <cellStyle name="Comma 2" xfId="13"/>
    <cellStyle name="Comma 2 2" xfId="15"/>
    <cellStyle name="Comma 2 2 2" xfId="2"/>
    <cellStyle name="Comma 4 2" xfId="3"/>
    <cellStyle name="Comma 7 2 2" xfId="4"/>
    <cellStyle name="Comma 9" xfId="14"/>
    <cellStyle name="Normal" xfId="0" builtinId="0"/>
    <cellStyle name="Normal 14 2" xfId="1"/>
    <cellStyle name="Normal 2" xfId="10"/>
    <cellStyle name="Normal 3" xfId="11"/>
    <cellStyle name="Normal 4" xfId="16"/>
    <cellStyle name="Normal 5" xfId="17"/>
    <cellStyle name="Normal 6" xfId="18"/>
    <cellStyle name="Percent 3 2" xfId="8"/>
    <cellStyle name="Percent 5 2 2" xfId="6"/>
    <cellStyle name="Финансовый 2 2" xfId="9"/>
    <cellStyle name="Финансовый 4 2" xfId="7"/>
  </cellStyles>
  <dxfs count="15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yane/Gayane_official/save/VTB-verjnakan/VTB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ira.Manrikyan\Desktop\&#1332;&#1387;%20&#1384;&#1398;&#1380;%20&#1335;&#1397;&#1403;%20&#1331;&#1408;&#1400;&#1410;&#1402;%20&#1357;&#1354;&#1336;%2010&#1396;&#1388;&#1398;%20$%20Eurobond%20&#1415;%208%20&#1396;&#1388;&#1408;&#1380;%20&#1380;&#1408;&#1377;&#1396;\D&amp;H%2010%20mln%20$%20%20&#1411;&#1400;&#1411;.%20&#1379;&#1400;&#1408;&#1390;&#1400;&#13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,08,20 գործող"/>
      <sheetName val="փաստացի "/>
      <sheetName val="փաստացի մարում"/>
      <sheetName val="Sheet1"/>
      <sheetName val="Հաշվարկ 10 մլն հին"/>
    </sheetNames>
    <sheetDataSet>
      <sheetData sheetId="0" refreshError="1">
        <row r="55">
          <cell r="I55">
            <v>37945.651610226625</v>
          </cell>
        </row>
        <row r="56">
          <cell r="I56">
            <v>37130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3"/>
  <sheetViews>
    <sheetView workbookViewId="0">
      <selection activeCell="D5" sqref="D5:D6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3.42578125" style="6" customWidth="1"/>
    <col min="4" max="4" width="16.140625" style="6" customWidth="1"/>
    <col min="5" max="10" width="16.140625" style="6" hidden="1" customWidth="1"/>
    <col min="11" max="11" width="18.85546875" style="89" customWidth="1"/>
    <col min="12" max="12" width="20.140625" style="6" customWidth="1"/>
    <col min="13" max="13" width="16.42578125" style="6" bestFit="1" customWidth="1"/>
    <col min="14" max="14" width="21.28515625" style="6" customWidth="1"/>
    <col min="15" max="15" width="20.28515625" style="6" customWidth="1"/>
    <col min="16" max="16" width="21.7109375" style="91" customWidth="1"/>
    <col min="17" max="17" width="18.5703125" style="6" customWidth="1"/>
    <col min="18" max="18" width="18.85546875" style="6" bestFit="1" customWidth="1"/>
    <col min="19" max="19" width="26.7109375" style="6" bestFit="1" customWidth="1"/>
    <col min="20" max="20" width="26.42578125" style="6" customWidth="1"/>
    <col min="21" max="21" width="23.5703125" style="5" customWidth="1"/>
    <col min="22" max="22" width="21.85546875" style="6" customWidth="1"/>
    <col min="23" max="16384" width="9.140625" style="6"/>
  </cols>
  <sheetData>
    <row r="1" spans="1:22" ht="22.5" x14ac:dyDescent="0.4">
      <c r="A1" s="309" t="s">
        <v>12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</row>
    <row r="2" spans="1:22" ht="49.5" customHeight="1" x14ac:dyDescent="0.4">
      <c r="A2" s="310" t="s">
        <v>455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</row>
    <row r="3" spans="1:22" ht="38.25" customHeight="1" thickBot="1" x14ac:dyDescent="0.3">
      <c r="A3" s="7"/>
      <c r="C3" s="7"/>
      <c r="D3" s="7"/>
      <c r="E3" s="7"/>
      <c r="F3" s="7"/>
      <c r="G3" s="7"/>
      <c r="H3" s="7"/>
      <c r="I3" s="7"/>
      <c r="J3" s="7"/>
      <c r="K3" s="21"/>
      <c r="L3" s="7"/>
      <c r="M3" s="7"/>
      <c r="N3" s="7"/>
      <c r="O3" s="7"/>
      <c r="P3" s="22"/>
      <c r="Q3" s="7"/>
      <c r="R3" s="7"/>
      <c r="S3" s="7"/>
      <c r="T3" s="7"/>
    </row>
    <row r="4" spans="1:22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5" t="s">
        <v>17</v>
      </c>
      <c r="F4" s="24" t="s">
        <v>425</v>
      </c>
      <c r="G4" s="24" t="s">
        <v>426</v>
      </c>
      <c r="H4" s="24" t="s">
        <v>427</v>
      </c>
      <c r="I4" s="24" t="s">
        <v>428</v>
      </c>
      <c r="J4" s="24" t="s">
        <v>429</v>
      </c>
      <c r="K4" s="24" t="s">
        <v>298</v>
      </c>
      <c r="L4" s="24" t="s">
        <v>290</v>
      </c>
      <c r="M4" s="24" t="s">
        <v>17</v>
      </c>
      <c r="N4" s="24" t="s">
        <v>18</v>
      </c>
      <c r="O4" s="24" t="s">
        <v>19</v>
      </c>
      <c r="P4" s="26" t="s">
        <v>20</v>
      </c>
      <c r="Q4" s="24" t="s">
        <v>21</v>
      </c>
      <c r="R4" s="24" t="s">
        <v>22</v>
      </c>
      <c r="S4" s="24" t="s">
        <v>23</v>
      </c>
      <c r="T4" s="27" t="s">
        <v>24</v>
      </c>
      <c r="U4" s="1"/>
      <c r="V4" s="98"/>
    </row>
    <row r="5" spans="1:22" ht="60" customHeight="1" outlineLevel="1" x14ac:dyDescent="0.25">
      <c r="A5" s="311">
        <v>1</v>
      </c>
      <c r="B5" s="313" t="s">
        <v>25</v>
      </c>
      <c r="C5" s="28" t="s">
        <v>26</v>
      </c>
      <c r="D5" s="315" t="s">
        <v>27</v>
      </c>
      <c r="E5" s="315" t="s">
        <v>29</v>
      </c>
      <c r="F5" s="29">
        <v>7300000</v>
      </c>
      <c r="G5" s="29">
        <v>5822389.5</v>
      </c>
      <c r="H5" s="30">
        <v>7.4999999999999997E-3</v>
      </c>
      <c r="I5" s="120"/>
      <c r="J5" s="126">
        <f t="shared" ref="J5:J15" si="0">G5-I5</f>
        <v>5822389.5</v>
      </c>
      <c r="K5" s="317" t="s">
        <v>299</v>
      </c>
      <c r="L5" s="106" t="s">
        <v>28</v>
      </c>
      <c r="M5" s="31" t="s">
        <v>29</v>
      </c>
      <c r="N5" s="138">
        <v>7300000</v>
      </c>
      <c r="O5" s="32">
        <f>5822389.5+13412.1+4470.7+716451.75+24588.85+716451.75+2235.35</f>
        <v>7299999.9999999991</v>
      </c>
      <c r="P5" s="30" t="s">
        <v>30</v>
      </c>
      <c r="Q5" s="32">
        <f>595000+119000+119000+119000+119000+119000</f>
        <v>1190000</v>
      </c>
      <c r="R5" s="32">
        <v>652083.5</v>
      </c>
      <c r="S5" s="138">
        <f t="shared" ref="S5:S33" si="1">O5-Q5</f>
        <v>6109999.9999999991</v>
      </c>
      <c r="T5" s="145" t="s">
        <v>31</v>
      </c>
      <c r="V5" s="5"/>
    </row>
    <row r="6" spans="1:22" ht="75.75" customHeight="1" outlineLevel="1" x14ac:dyDescent="0.25">
      <c r="A6" s="312"/>
      <c r="B6" s="314"/>
      <c r="C6" s="33" t="s">
        <v>32</v>
      </c>
      <c r="D6" s="316"/>
      <c r="E6" s="316"/>
      <c r="F6" s="34">
        <v>7300000</v>
      </c>
      <c r="G6" s="34">
        <v>7300000</v>
      </c>
      <c r="H6" s="117" t="s">
        <v>34</v>
      </c>
      <c r="I6" s="131"/>
      <c r="J6" s="116">
        <f t="shared" si="0"/>
        <v>7300000</v>
      </c>
      <c r="K6" s="318"/>
      <c r="L6" s="107" t="s">
        <v>33</v>
      </c>
      <c r="M6" s="135" t="s">
        <v>29</v>
      </c>
      <c r="N6" s="32">
        <v>7300000</v>
      </c>
      <c r="O6" s="32">
        <v>7299999.9999999981</v>
      </c>
      <c r="P6" s="117" t="s">
        <v>34</v>
      </c>
      <c r="Q6" s="32">
        <f>5474999.9+304166.7+304166.7+304166.7+304166.7+304166.7</f>
        <v>6995833.4000000013</v>
      </c>
      <c r="R6" s="32">
        <f>1226756+8356.16</f>
        <v>1235112.1599999999</v>
      </c>
      <c r="S6" s="32">
        <f t="shared" si="1"/>
        <v>304166.59999999683</v>
      </c>
      <c r="T6" s="140" t="s">
        <v>35</v>
      </c>
      <c r="V6" s="5"/>
    </row>
    <row r="7" spans="1:22" ht="64.5" customHeight="1" outlineLevel="1" x14ac:dyDescent="0.25">
      <c r="A7" s="104">
        <v>2</v>
      </c>
      <c r="B7" s="132" t="s">
        <v>25</v>
      </c>
      <c r="C7" s="132" t="s">
        <v>36</v>
      </c>
      <c r="D7" s="107" t="s">
        <v>27</v>
      </c>
      <c r="E7" s="135" t="s">
        <v>29</v>
      </c>
      <c r="F7" s="34">
        <v>14060527</v>
      </c>
      <c r="G7" s="34">
        <v>14060527</v>
      </c>
      <c r="H7" s="35">
        <v>7.4999999999999997E-3</v>
      </c>
      <c r="I7" s="34">
        <v>3044232</v>
      </c>
      <c r="J7" s="116">
        <f t="shared" si="0"/>
        <v>11016295</v>
      </c>
      <c r="K7" s="109" t="s">
        <v>300</v>
      </c>
      <c r="L7" s="107" t="s">
        <v>37</v>
      </c>
      <c r="M7" s="135" t="s">
        <v>29</v>
      </c>
      <c r="N7" s="32">
        <v>14060526.73</v>
      </c>
      <c r="O7" s="32">
        <v>14060526.73</v>
      </c>
      <c r="P7" s="35">
        <v>7.4999999999999997E-3</v>
      </c>
      <c r="Q7" s="32">
        <f>5858552.73979552+234342.1+234342.1+98055764.9/418.43+98932204.4/422.17+104987604.2/448.01</f>
        <v>7030263.2398433303</v>
      </c>
      <c r="R7" s="32">
        <f>1294472.69934396+40254.3+39195.3+16095956/418.43+15796672.6/422.17+16433280.1/448.01</f>
        <v>1486488.2092536527</v>
      </c>
      <c r="S7" s="32">
        <f t="shared" si="1"/>
        <v>7030263.4901566701</v>
      </c>
      <c r="T7" s="140" t="s">
        <v>31</v>
      </c>
      <c r="V7" s="5"/>
    </row>
    <row r="8" spans="1:22" ht="67.5" outlineLevel="1" x14ac:dyDescent="0.25">
      <c r="A8" s="104">
        <v>3</v>
      </c>
      <c r="B8" s="132" t="s">
        <v>25</v>
      </c>
      <c r="C8" s="132" t="s">
        <v>38</v>
      </c>
      <c r="D8" s="107" t="s">
        <v>27</v>
      </c>
      <c r="E8" s="135" t="s">
        <v>29</v>
      </c>
      <c r="F8" s="34">
        <v>75000000</v>
      </c>
      <c r="G8" s="34">
        <v>0</v>
      </c>
      <c r="H8" s="35">
        <v>1.8499999999999999E-2</v>
      </c>
      <c r="I8" s="131"/>
      <c r="J8" s="116">
        <f t="shared" si="0"/>
        <v>0</v>
      </c>
      <c r="K8" s="109" t="s">
        <v>301</v>
      </c>
      <c r="L8" s="107" t="s">
        <v>39</v>
      </c>
      <c r="M8" s="135" t="s">
        <v>29</v>
      </c>
      <c r="N8" s="32">
        <v>75000000</v>
      </c>
      <c r="O8" s="32"/>
      <c r="P8" s="35" t="s">
        <v>40</v>
      </c>
      <c r="Q8" s="32"/>
      <c r="R8" s="32">
        <f>1932812.5+93750+93750+93750+93750+42000937.5/448.01</f>
        <v>2401562.5</v>
      </c>
      <c r="S8" s="32">
        <f t="shared" si="1"/>
        <v>0</v>
      </c>
      <c r="T8" s="140" t="s">
        <v>35</v>
      </c>
      <c r="V8" s="5"/>
    </row>
    <row r="9" spans="1:22" ht="57.75" customHeight="1" outlineLevel="1" x14ac:dyDescent="0.25">
      <c r="A9" s="321">
        <v>4</v>
      </c>
      <c r="B9" s="322" t="s">
        <v>25</v>
      </c>
      <c r="C9" s="322" t="s">
        <v>38</v>
      </c>
      <c r="D9" s="107" t="s">
        <v>27</v>
      </c>
      <c r="E9" s="135" t="s">
        <v>29</v>
      </c>
      <c r="F9" s="34">
        <v>10200000</v>
      </c>
      <c r="G9" s="34">
        <v>0</v>
      </c>
      <c r="H9" s="35">
        <v>7.4999999999999997E-3</v>
      </c>
      <c r="I9" s="117"/>
      <c r="J9" s="116">
        <f t="shared" si="0"/>
        <v>0</v>
      </c>
      <c r="K9" s="323" t="s">
        <v>301</v>
      </c>
      <c r="L9" s="324" t="s">
        <v>41</v>
      </c>
      <c r="M9" s="135" t="s">
        <v>29</v>
      </c>
      <c r="N9" s="32">
        <v>10200000</v>
      </c>
      <c r="O9" s="32">
        <f>1075381.69+59500</f>
        <v>1134881.69</v>
      </c>
      <c r="P9" s="325" t="s">
        <v>30</v>
      </c>
      <c r="Q9" s="32">
        <v>0</v>
      </c>
      <c r="R9" s="32">
        <f>200690.672577969+15587.2+6522152.1/418.43+6580448.3/422.17+6983221.5/448.01</f>
        <v>263039.47283004946</v>
      </c>
      <c r="S9" s="32">
        <f>O9-Q9</f>
        <v>1134881.69</v>
      </c>
      <c r="T9" s="319" t="s">
        <v>35</v>
      </c>
      <c r="V9" s="5"/>
    </row>
    <row r="10" spans="1:22" ht="57.75" customHeight="1" outlineLevel="1" x14ac:dyDescent="0.25">
      <c r="A10" s="311"/>
      <c r="B10" s="314"/>
      <c r="C10" s="314"/>
      <c r="D10" s="107"/>
      <c r="E10" s="135"/>
      <c r="F10" s="34"/>
      <c r="G10" s="34"/>
      <c r="H10" s="35"/>
      <c r="I10" s="117"/>
      <c r="J10" s="116"/>
      <c r="K10" s="317"/>
      <c r="L10" s="315"/>
      <c r="M10" s="135" t="s">
        <v>2</v>
      </c>
      <c r="N10" s="32"/>
      <c r="O10" s="32">
        <v>244081445</v>
      </c>
      <c r="P10" s="326"/>
      <c r="Q10" s="32"/>
      <c r="R10" s="32">
        <f>9774294.3+915305.4+915305.4+915305.4</f>
        <v>12520210.500000002</v>
      </c>
      <c r="S10" s="32">
        <f>O10-Q10</f>
        <v>244081445</v>
      </c>
      <c r="T10" s="320"/>
      <c r="V10" s="5"/>
    </row>
    <row r="11" spans="1:22" ht="76.5" customHeight="1" outlineLevel="1" x14ac:dyDescent="0.25">
      <c r="A11" s="321">
        <v>5</v>
      </c>
      <c r="B11" s="322" t="s">
        <v>25</v>
      </c>
      <c r="C11" s="322" t="s">
        <v>42</v>
      </c>
      <c r="D11" s="107"/>
      <c r="E11" s="135"/>
      <c r="F11" s="34"/>
      <c r="G11" s="34"/>
      <c r="H11" s="35"/>
      <c r="I11" s="117"/>
      <c r="J11" s="116"/>
      <c r="K11" s="323" t="s">
        <v>302</v>
      </c>
      <c r="L11" s="324" t="s">
        <v>43</v>
      </c>
      <c r="M11" s="135" t="s">
        <v>29</v>
      </c>
      <c r="N11" s="32">
        <v>10000000</v>
      </c>
      <c r="O11" s="32"/>
      <c r="P11" s="325" t="s">
        <v>44</v>
      </c>
      <c r="Q11" s="32"/>
      <c r="R11" s="32">
        <v>50000</v>
      </c>
      <c r="S11" s="32">
        <f>O11-Q11</f>
        <v>0</v>
      </c>
      <c r="T11" s="319" t="s">
        <v>45</v>
      </c>
      <c r="V11" s="5"/>
    </row>
    <row r="12" spans="1:22" ht="76.5" customHeight="1" outlineLevel="1" x14ac:dyDescent="0.25">
      <c r="A12" s="311"/>
      <c r="B12" s="314"/>
      <c r="C12" s="314"/>
      <c r="D12" s="107"/>
      <c r="E12" s="135"/>
      <c r="F12" s="34"/>
      <c r="G12" s="34"/>
      <c r="H12" s="35"/>
      <c r="I12" s="117"/>
      <c r="J12" s="116"/>
      <c r="K12" s="317"/>
      <c r="L12" s="315"/>
      <c r="M12" s="107" t="s">
        <v>2</v>
      </c>
      <c r="N12" s="32"/>
      <c r="O12" s="32"/>
      <c r="P12" s="326"/>
      <c r="Q12" s="32"/>
      <c r="R12" s="32"/>
      <c r="S12" s="32">
        <f t="shared" si="1"/>
        <v>0</v>
      </c>
      <c r="T12" s="320"/>
      <c r="V12" s="5"/>
    </row>
    <row r="13" spans="1:22" ht="76.5" customHeight="1" outlineLevel="1" x14ac:dyDescent="0.25">
      <c r="A13" s="321">
        <v>6</v>
      </c>
      <c r="B13" s="322" t="s">
        <v>25</v>
      </c>
      <c r="C13" s="322" t="s">
        <v>46</v>
      </c>
      <c r="D13" s="107"/>
      <c r="E13" s="135"/>
      <c r="F13" s="34"/>
      <c r="G13" s="34"/>
      <c r="H13" s="35"/>
      <c r="I13" s="117"/>
      <c r="J13" s="116"/>
      <c r="K13" s="323" t="s">
        <v>303</v>
      </c>
      <c r="L13" s="324" t="s">
        <v>47</v>
      </c>
      <c r="M13" s="135" t="s">
        <v>29</v>
      </c>
      <c r="N13" s="32">
        <v>83000000</v>
      </c>
      <c r="O13" s="32"/>
      <c r="P13" s="325">
        <v>1.7999999999999999E-2</v>
      </c>
      <c r="Q13" s="32"/>
      <c r="R13" s="32">
        <f>1930326.40003794+103750+103750+103750+103750+46481037.5/448.01</f>
        <v>2449076.4000379397</v>
      </c>
      <c r="S13" s="32">
        <f t="shared" si="1"/>
        <v>0</v>
      </c>
      <c r="T13" s="319" t="s">
        <v>35</v>
      </c>
      <c r="V13" s="5"/>
    </row>
    <row r="14" spans="1:22" ht="76.5" customHeight="1" outlineLevel="1" x14ac:dyDescent="0.25">
      <c r="A14" s="311"/>
      <c r="B14" s="314"/>
      <c r="C14" s="314"/>
      <c r="D14" s="107"/>
      <c r="E14" s="135"/>
      <c r="F14" s="34"/>
      <c r="G14" s="34"/>
      <c r="H14" s="35"/>
      <c r="I14" s="117"/>
      <c r="J14" s="116"/>
      <c r="K14" s="317"/>
      <c r="L14" s="315"/>
      <c r="M14" s="107" t="s">
        <v>2</v>
      </c>
      <c r="N14" s="32"/>
      <c r="O14" s="32"/>
      <c r="P14" s="326"/>
      <c r="Q14" s="32"/>
      <c r="R14" s="32"/>
      <c r="S14" s="32">
        <f t="shared" si="1"/>
        <v>0</v>
      </c>
      <c r="T14" s="320"/>
      <c r="U14" s="8"/>
      <c r="V14" s="5"/>
    </row>
    <row r="15" spans="1:22" ht="96.75" customHeight="1" outlineLevel="1" x14ac:dyDescent="0.25">
      <c r="A15" s="312">
        <v>7</v>
      </c>
      <c r="B15" s="322" t="s">
        <v>25</v>
      </c>
      <c r="C15" s="322" t="s">
        <v>48</v>
      </c>
      <c r="D15" s="316" t="s">
        <v>49</v>
      </c>
      <c r="E15" s="328" t="s">
        <v>51</v>
      </c>
      <c r="F15" s="329">
        <v>39000000</v>
      </c>
      <c r="G15" s="329">
        <f>18026903.76+130476.4+43674.47+204502+159552.28+20280.3+101559+88268.89+153855.7+63854.08</f>
        <v>18992926.879999999</v>
      </c>
      <c r="H15" s="328" t="s">
        <v>430</v>
      </c>
      <c r="I15" s="327"/>
      <c r="J15" s="327">
        <f t="shared" si="0"/>
        <v>18992926.879999999</v>
      </c>
      <c r="K15" s="318" t="s">
        <v>304</v>
      </c>
      <c r="L15" s="316" t="s">
        <v>50</v>
      </c>
      <c r="M15" s="135" t="s">
        <v>51</v>
      </c>
      <c r="N15" s="32">
        <f>35500000-1434414.8</f>
        <v>34065585.200000003</v>
      </c>
      <c r="O15" s="32">
        <v>34065585.200000003</v>
      </c>
      <c r="P15" s="328" t="s">
        <v>367</v>
      </c>
      <c r="Q15" s="32">
        <f>3406558.5+438685248.4/386.33+457603003.3/402.99</f>
        <v>5677597.4998969967</v>
      </c>
      <c r="R15" s="32">
        <f>6927866.15+372600334/386.33+433310604.9/402.99</f>
        <v>8967566.5499026012</v>
      </c>
      <c r="S15" s="32">
        <f t="shared" si="1"/>
        <v>28387987.700103007</v>
      </c>
      <c r="T15" s="319" t="s">
        <v>52</v>
      </c>
      <c r="U15" s="8"/>
      <c r="V15" s="5"/>
    </row>
    <row r="16" spans="1:22" ht="68.25" customHeight="1" outlineLevel="1" x14ac:dyDescent="0.25">
      <c r="A16" s="312"/>
      <c r="B16" s="314"/>
      <c r="C16" s="314"/>
      <c r="D16" s="316"/>
      <c r="E16" s="328"/>
      <c r="F16" s="329"/>
      <c r="G16" s="329"/>
      <c r="H16" s="328"/>
      <c r="I16" s="327"/>
      <c r="J16" s="327"/>
      <c r="K16" s="318"/>
      <c r="L16" s="316"/>
      <c r="M16" s="107" t="s">
        <v>2</v>
      </c>
      <c r="N16" s="32"/>
      <c r="O16" s="32">
        <v>3680136115.8000002</v>
      </c>
      <c r="P16" s="328"/>
      <c r="Q16" s="32">
        <f>387003402.1+121967878.3+121967878.3</f>
        <v>630939158.70000005</v>
      </c>
      <c r="R16" s="32">
        <f>743758864.24+103594252.5+115493072.7</f>
        <v>962846189.44000006</v>
      </c>
      <c r="S16" s="32">
        <f t="shared" si="1"/>
        <v>3049196957.1000004</v>
      </c>
      <c r="T16" s="320"/>
      <c r="U16" s="8"/>
      <c r="V16" s="5"/>
    </row>
    <row r="17" spans="1:21" s="5" customFormat="1" ht="81" customHeight="1" outlineLevel="1" x14ac:dyDescent="0.25">
      <c r="A17" s="321">
        <v>8</v>
      </c>
      <c r="B17" s="322" t="s">
        <v>25</v>
      </c>
      <c r="C17" s="322" t="s">
        <v>53</v>
      </c>
      <c r="D17" s="324" t="s">
        <v>49</v>
      </c>
      <c r="E17" s="117" t="s">
        <v>51</v>
      </c>
      <c r="F17" s="34">
        <v>40000000</v>
      </c>
      <c r="G17" s="116">
        <v>100000</v>
      </c>
      <c r="H17" s="117" t="s">
        <v>430</v>
      </c>
      <c r="I17" s="116">
        <v>0</v>
      </c>
      <c r="J17" s="116">
        <f>G17-I17</f>
        <v>100000</v>
      </c>
      <c r="K17" s="323" t="s">
        <v>305</v>
      </c>
      <c r="L17" s="323" t="s">
        <v>54</v>
      </c>
      <c r="M17" s="135" t="s">
        <v>51</v>
      </c>
      <c r="N17" s="34">
        <f>40000000-2500000-1500000</f>
        <v>36000000</v>
      </c>
      <c r="O17" s="32">
        <v>25696827.510000002</v>
      </c>
      <c r="P17" s="35" t="s">
        <v>367</v>
      </c>
      <c r="Q17" s="32">
        <v>0</v>
      </c>
      <c r="R17" s="32">
        <v>4091306.4512348948</v>
      </c>
      <c r="S17" s="32">
        <f t="shared" si="1"/>
        <v>25696827.510000002</v>
      </c>
      <c r="T17" s="319" t="s">
        <v>52</v>
      </c>
      <c r="U17" s="8"/>
    </row>
    <row r="18" spans="1:21" s="5" customFormat="1" ht="39.75" customHeight="1" outlineLevel="1" x14ac:dyDescent="0.25">
      <c r="A18" s="311"/>
      <c r="B18" s="314"/>
      <c r="C18" s="314"/>
      <c r="D18" s="315"/>
      <c r="E18" s="117"/>
      <c r="F18" s="34"/>
      <c r="G18" s="116"/>
      <c r="H18" s="117"/>
      <c r="I18" s="116"/>
      <c r="J18" s="116"/>
      <c r="K18" s="317"/>
      <c r="L18" s="317"/>
      <c r="M18" s="107" t="s">
        <v>2</v>
      </c>
      <c r="N18" s="34"/>
      <c r="O18" s="32">
        <v>1009149275.1</v>
      </c>
      <c r="P18" s="35"/>
      <c r="Q18" s="32">
        <v>563212.19999999995</v>
      </c>
      <c r="R18" s="32">
        <v>165583419.29999998</v>
      </c>
      <c r="S18" s="32">
        <f t="shared" si="1"/>
        <v>1008586062.9</v>
      </c>
      <c r="T18" s="320"/>
      <c r="U18" s="8"/>
    </row>
    <row r="19" spans="1:21" s="5" customFormat="1" ht="70.5" customHeight="1" outlineLevel="1" x14ac:dyDescent="0.25">
      <c r="A19" s="321">
        <v>9</v>
      </c>
      <c r="B19" s="330" t="s">
        <v>25</v>
      </c>
      <c r="C19" s="322" t="s">
        <v>55</v>
      </c>
      <c r="D19" s="324" t="s">
        <v>49</v>
      </c>
      <c r="E19" s="328" t="s">
        <v>51</v>
      </c>
      <c r="F19" s="329">
        <v>52000000</v>
      </c>
      <c r="G19" s="327">
        <v>130000</v>
      </c>
      <c r="H19" s="328" t="s">
        <v>430</v>
      </c>
      <c r="I19" s="327"/>
      <c r="J19" s="327">
        <f>G19-I19</f>
        <v>130000</v>
      </c>
      <c r="K19" s="323" t="s">
        <v>306</v>
      </c>
      <c r="L19" s="323" t="s">
        <v>56</v>
      </c>
      <c r="M19" s="135" t="s">
        <v>51</v>
      </c>
      <c r="N19" s="34">
        <v>23194486</v>
      </c>
      <c r="O19" s="32">
        <v>13607506.780000001</v>
      </c>
      <c r="P19" s="325" t="s">
        <v>367</v>
      </c>
      <c r="Q19" s="32">
        <v>0</v>
      </c>
      <c r="R19" s="32">
        <f>1316813.632+122778919.2/386.33+153358408.7/402.99</f>
        <v>2015173.4321072174</v>
      </c>
      <c r="S19" s="32">
        <f t="shared" si="1"/>
        <v>13607506.780000001</v>
      </c>
      <c r="T19" s="319" t="s">
        <v>52</v>
      </c>
      <c r="U19" s="8"/>
    </row>
    <row r="20" spans="1:21" s="5" customFormat="1" ht="54.75" customHeight="1" outlineLevel="1" x14ac:dyDescent="0.25">
      <c r="A20" s="311"/>
      <c r="B20" s="331"/>
      <c r="C20" s="332"/>
      <c r="D20" s="333"/>
      <c r="E20" s="328"/>
      <c r="F20" s="329"/>
      <c r="G20" s="327"/>
      <c r="H20" s="328"/>
      <c r="I20" s="327"/>
      <c r="J20" s="327"/>
      <c r="K20" s="317"/>
      <c r="L20" s="317"/>
      <c r="M20" s="107" t="s">
        <v>2</v>
      </c>
      <c r="N20" s="34"/>
      <c r="O20" s="32">
        <v>1673505397.0999999</v>
      </c>
      <c r="P20" s="334"/>
      <c r="Q20" s="32">
        <v>91463799.799999997</v>
      </c>
      <c r="R20" s="32">
        <f>119885553.7+36155098.5+43333756.7</f>
        <v>199374408.89999998</v>
      </c>
      <c r="S20" s="32">
        <f t="shared" si="1"/>
        <v>1582041597.3</v>
      </c>
      <c r="T20" s="320"/>
      <c r="U20" s="8"/>
    </row>
    <row r="21" spans="1:21" s="5" customFormat="1" ht="60" customHeight="1" outlineLevel="1" x14ac:dyDescent="0.25">
      <c r="A21" s="321">
        <v>10</v>
      </c>
      <c r="B21" s="330" t="s">
        <v>57</v>
      </c>
      <c r="C21" s="332"/>
      <c r="D21" s="333"/>
      <c r="E21" s="328"/>
      <c r="F21" s="329"/>
      <c r="G21" s="327"/>
      <c r="H21" s="328"/>
      <c r="I21" s="327"/>
      <c r="J21" s="327"/>
      <c r="K21" s="323" t="s">
        <v>307</v>
      </c>
      <c r="L21" s="323" t="s">
        <v>56</v>
      </c>
      <c r="M21" s="135" t="s">
        <v>51</v>
      </c>
      <c r="N21" s="32">
        <v>16662617.070000002</v>
      </c>
      <c r="O21" s="32">
        <v>16662617.070000002</v>
      </c>
      <c r="P21" s="334"/>
      <c r="Q21" s="32"/>
      <c r="R21" s="32">
        <f>2194958+182027405/386.38+218562808/403.19</f>
        <v>3208151.702122347</v>
      </c>
      <c r="S21" s="32">
        <f t="shared" si="1"/>
        <v>16662617.070000002</v>
      </c>
      <c r="T21" s="319" t="s">
        <v>52</v>
      </c>
      <c r="U21" s="8"/>
    </row>
    <row r="22" spans="1:21" s="5" customFormat="1" ht="40.5" customHeight="1" outlineLevel="1" x14ac:dyDescent="0.25">
      <c r="A22" s="311"/>
      <c r="B22" s="331"/>
      <c r="C22" s="314"/>
      <c r="D22" s="315"/>
      <c r="E22" s="127"/>
      <c r="F22" s="130"/>
      <c r="G22" s="124"/>
      <c r="H22" s="127"/>
      <c r="I22" s="124"/>
      <c r="J22" s="124"/>
      <c r="K22" s="317"/>
      <c r="L22" s="317"/>
      <c r="M22" s="135" t="s">
        <v>2</v>
      </c>
      <c r="N22" s="6"/>
      <c r="O22" s="32">
        <v>2003005775.2</v>
      </c>
      <c r="P22" s="326"/>
      <c r="Q22" s="32"/>
      <c r="R22" s="32">
        <f>238604865.8+56631905+65163658.9</f>
        <v>360400429.69999999</v>
      </c>
      <c r="S22" s="32">
        <f t="shared" si="1"/>
        <v>2003005775.2</v>
      </c>
      <c r="T22" s="320"/>
      <c r="U22" s="8"/>
    </row>
    <row r="23" spans="1:21" s="5" customFormat="1" ht="57.75" customHeight="1" outlineLevel="1" x14ac:dyDescent="0.25">
      <c r="A23" s="321">
        <v>11</v>
      </c>
      <c r="B23" s="330" t="s">
        <v>25</v>
      </c>
      <c r="C23" s="322" t="s">
        <v>58</v>
      </c>
      <c r="D23" s="324" t="s">
        <v>59</v>
      </c>
      <c r="E23" s="338" t="s">
        <v>431</v>
      </c>
      <c r="F23" s="341">
        <v>24022000</v>
      </c>
      <c r="G23" s="335">
        <f>O23+O25</f>
        <v>18384172.012149811</v>
      </c>
      <c r="H23" s="338">
        <v>0.02</v>
      </c>
      <c r="I23" s="335">
        <v>0</v>
      </c>
      <c r="J23" s="335">
        <f>G23-I23</f>
        <v>18384172.012149811</v>
      </c>
      <c r="K23" s="323" t="s">
        <v>305</v>
      </c>
      <c r="L23" s="324" t="s">
        <v>60</v>
      </c>
      <c r="M23" s="135" t="s">
        <v>61</v>
      </c>
      <c r="N23" s="36">
        <v>13988153</v>
      </c>
      <c r="O23" s="32">
        <v>8262785.6411363389</v>
      </c>
      <c r="P23" s="325">
        <v>3.1399999999999997E-2</v>
      </c>
      <c r="Q23" s="32">
        <f>1430873.60020494+107795234.9/520.68+109739226/530.07</f>
        <v>1844929.200299131</v>
      </c>
      <c r="R23" s="32">
        <f>1219413.93+55848657.5/520.68+55104222/530.07</f>
        <v>1430631.4301233056</v>
      </c>
      <c r="S23" s="32">
        <f t="shared" si="1"/>
        <v>6417856.4408372082</v>
      </c>
      <c r="T23" s="319" t="s">
        <v>52</v>
      </c>
      <c r="U23" s="8"/>
    </row>
    <row r="24" spans="1:21" s="5" customFormat="1" ht="32.25" customHeight="1" outlineLevel="1" x14ac:dyDescent="0.25">
      <c r="A24" s="311"/>
      <c r="B24" s="331"/>
      <c r="C24" s="332"/>
      <c r="D24" s="333"/>
      <c r="E24" s="339"/>
      <c r="F24" s="342"/>
      <c r="G24" s="336"/>
      <c r="H24" s="339"/>
      <c r="I24" s="336"/>
      <c r="J24" s="336"/>
      <c r="K24" s="317"/>
      <c r="L24" s="315"/>
      <c r="M24" s="107" t="s">
        <v>2</v>
      </c>
      <c r="N24" s="37"/>
      <c r="O24" s="32">
        <v>1194787815</v>
      </c>
      <c r="P24" s="326"/>
      <c r="Q24" s="32">
        <f>209123295.3+29868621.8+29868621.8</f>
        <v>268860538.90000004</v>
      </c>
      <c r="R24" s="32">
        <f>177460224.6+15474933+14998180</f>
        <v>207933337.59999999</v>
      </c>
      <c r="S24" s="32">
        <f t="shared" si="1"/>
        <v>925927276.0999999</v>
      </c>
      <c r="T24" s="320"/>
      <c r="U24" s="8"/>
    </row>
    <row r="25" spans="1:21" s="5" customFormat="1" ht="51.75" customHeight="1" outlineLevel="1" x14ac:dyDescent="0.25">
      <c r="A25" s="321">
        <v>12</v>
      </c>
      <c r="B25" s="330" t="s">
        <v>62</v>
      </c>
      <c r="C25" s="332"/>
      <c r="D25" s="333"/>
      <c r="E25" s="339"/>
      <c r="F25" s="342"/>
      <c r="G25" s="336"/>
      <c r="H25" s="339"/>
      <c r="I25" s="336"/>
      <c r="J25" s="336"/>
      <c r="K25" s="323" t="s">
        <v>308</v>
      </c>
      <c r="L25" s="324" t="s">
        <v>60</v>
      </c>
      <c r="M25" s="135" t="s">
        <v>61</v>
      </c>
      <c r="N25" s="36">
        <v>10098535</v>
      </c>
      <c r="O25" s="32">
        <v>10121386.37101347</v>
      </c>
      <c r="P25" s="325">
        <v>3.1399999999999997E-2</v>
      </c>
      <c r="Q25" s="32">
        <f>1520990.1+136750579/520.29+138244588/530.59</f>
        <v>2044374.2018585065</v>
      </c>
      <c r="R25" s="32">
        <f>832426.027338+83294453/525+70252782/520.29+69454072/530.59</f>
        <v>1257008.0293966178</v>
      </c>
      <c r="S25" s="32">
        <f t="shared" si="1"/>
        <v>8077012.1691549635</v>
      </c>
      <c r="T25" s="319" t="s">
        <v>52</v>
      </c>
      <c r="U25" s="8"/>
    </row>
    <row r="26" spans="1:21" s="5" customFormat="1" ht="32.25" customHeight="1" outlineLevel="1" x14ac:dyDescent="0.25">
      <c r="A26" s="311"/>
      <c r="B26" s="331"/>
      <c r="C26" s="314"/>
      <c r="D26" s="315"/>
      <c r="E26" s="340"/>
      <c r="F26" s="343"/>
      <c r="G26" s="337"/>
      <c r="H26" s="340"/>
      <c r="I26" s="337"/>
      <c r="J26" s="337"/>
      <c r="K26" s="317"/>
      <c r="L26" s="315"/>
      <c r="M26" s="107" t="s">
        <v>2</v>
      </c>
      <c r="N26" s="37"/>
      <c r="O26" s="32">
        <v>794162455.89999998</v>
      </c>
      <c r="P26" s="326"/>
      <c r="Q26" s="32">
        <f>123592049.7+20623615+20310837</f>
        <v>164526501.69999999</v>
      </c>
      <c r="R26" s="32">
        <f>78534680.8+10527955+10204165</f>
        <v>99266800.799999997</v>
      </c>
      <c r="S26" s="32">
        <f t="shared" si="1"/>
        <v>629635954.20000005</v>
      </c>
      <c r="T26" s="320"/>
      <c r="U26" s="8"/>
    </row>
    <row r="27" spans="1:21" s="5" customFormat="1" ht="48" customHeight="1" outlineLevel="1" x14ac:dyDescent="0.25">
      <c r="A27" s="104">
        <v>13</v>
      </c>
      <c r="B27" s="131" t="s">
        <v>25</v>
      </c>
      <c r="C27" s="346" t="s">
        <v>63</v>
      </c>
      <c r="D27" s="316" t="s">
        <v>64</v>
      </c>
      <c r="E27" s="117" t="s">
        <v>432</v>
      </c>
      <c r="F27" s="327">
        <v>15000000</v>
      </c>
      <c r="G27" s="327">
        <v>15000000</v>
      </c>
      <c r="H27" s="347">
        <v>1.4500000000000001E-2</v>
      </c>
      <c r="I27" s="327">
        <v>2437500</v>
      </c>
      <c r="J27" s="327">
        <f>G27-I27</f>
        <v>12562500</v>
      </c>
      <c r="K27" s="109" t="s">
        <v>309</v>
      </c>
      <c r="L27" s="107" t="s">
        <v>65</v>
      </c>
      <c r="M27" s="135" t="s">
        <v>51</v>
      </c>
      <c r="N27" s="32">
        <v>19600000</v>
      </c>
      <c r="O27" s="32">
        <v>19419334.870000001</v>
      </c>
      <c r="P27" s="38">
        <v>5.0000000000000001E-3</v>
      </c>
      <c r="Q27" s="32">
        <f>9716960.66852489+189584407.5/488.5+172026989.7/443.26+153375144/395.2+150045288.9/386.62+156421689.8/403.05</f>
        <v>11657435.668648943</v>
      </c>
      <c r="R27" s="32">
        <f>1129921.93024286+16077756.3/488.5+14096288.6/443.26+12233850.7/395.2+11546870.2/386.62+11574265.9/403.05</f>
        <v>1284174.8301751786</v>
      </c>
      <c r="S27" s="32">
        <f t="shared" si="1"/>
        <v>7761899.2013510577</v>
      </c>
      <c r="T27" s="140" t="s">
        <v>52</v>
      </c>
      <c r="U27" s="8"/>
    </row>
    <row r="28" spans="1:21" s="5" customFormat="1" ht="60" customHeight="1" outlineLevel="1" x14ac:dyDescent="0.25">
      <c r="A28" s="104">
        <v>14</v>
      </c>
      <c r="B28" s="131" t="s">
        <v>62</v>
      </c>
      <c r="C28" s="346"/>
      <c r="D28" s="316"/>
      <c r="E28" s="117" t="s">
        <v>432</v>
      </c>
      <c r="F28" s="327"/>
      <c r="G28" s="327"/>
      <c r="H28" s="347"/>
      <c r="I28" s="327"/>
      <c r="J28" s="327"/>
      <c r="K28" s="109" t="s">
        <v>310</v>
      </c>
      <c r="L28" s="107" t="s">
        <v>66</v>
      </c>
      <c r="M28" s="135" t="s">
        <v>51</v>
      </c>
      <c r="N28" s="32">
        <v>297276.53999999998</v>
      </c>
      <c r="O28" s="32">
        <v>297276.53999999998</v>
      </c>
      <c r="P28" s="35" t="s">
        <v>67</v>
      </c>
      <c r="Q28" s="32">
        <f>257638.543537781+4361667/440.15+3916234/395.2+3837157/387.22+3994520/403.1</f>
        <v>297276.54625526333</v>
      </c>
      <c r="R28" s="32">
        <f>229541.53251276+1912186/489.99+1556591/440.15+1259898/395.2+1094284/387.22+991707/403.1</f>
        <v>245454.73643449965</v>
      </c>
      <c r="S28" s="32">
        <f t="shared" si="1"/>
        <v>-6.255263346247375E-3</v>
      </c>
      <c r="T28" s="140" t="s">
        <v>52</v>
      </c>
      <c r="U28" s="8"/>
    </row>
    <row r="29" spans="1:21" s="5" customFormat="1" ht="51" customHeight="1" outlineLevel="1" x14ac:dyDescent="0.25">
      <c r="A29" s="104">
        <v>15</v>
      </c>
      <c r="B29" s="131" t="s">
        <v>62</v>
      </c>
      <c r="C29" s="344" t="s">
        <v>68</v>
      </c>
      <c r="D29" s="316" t="s">
        <v>69</v>
      </c>
      <c r="E29" s="328" t="s">
        <v>71</v>
      </c>
      <c r="F29" s="329">
        <f>5075000000+324000000</f>
        <v>5399000000</v>
      </c>
      <c r="G29" s="327">
        <f>5062807492+305504477</f>
        <v>5368311969</v>
      </c>
      <c r="H29" s="345" t="s">
        <v>433</v>
      </c>
      <c r="I29" s="327">
        <f>1729684492+71162477</f>
        <v>1800846969</v>
      </c>
      <c r="J29" s="327">
        <f>G29-I29</f>
        <v>3567465000</v>
      </c>
      <c r="K29" s="109" t="s">
        <v>311</v>
      </c>
      <c r="L29" s="107" t="s">
        <v>70</v>
      </c>
      <c r="M29" s="107" t="s">
        <v>71</v>
      </c>
      <c r="N29" s="32">
        <v>1571940173.3299999</v>
      </c>
      <c r="O29" s="32">
        <v>1598519063</v>
      </c>
      <c r="P29" s="38">
        <v>1.7999999999999999E-2</v>
      </c>
      <c r="Q29" s="32">
        <f>1030178646.5+123394332/3.026+109815247/2.693</f>
        <v>1111734715.4027808</v>
      </c>
      <c r="R29" s="32">
        <f>226837831.925937+13873556/3.026+11211247/2.693</f>
        <v>235585722.74296552</v>
      </c>
      <c r="S29" s="32">
        <f t="shared" si="1"/>
        <v>486784347.59721923</v>
      </c>
      <c r="T29" s="140" t="s">
        <v>52</v>
      </c>
      <c r="U29" s="8"/>
    </row>
    <row r="30" spans="1:21" s="5" customFormat="1" ht="41.25" customHeight="1" outlineLevel="1" x14ac:dyDescent="0.25">
      <c r="A30" s="104">
        <v>16</v>
      </c>
      <c r="B30" s="132" t="s">
        <v>72</v>
      </c>
      <c r="C30" s="344"/>
      <c r="D30" s="316"/>
      <c r="E30" s="328"/>
      <c r="F30" s="329"/>
      <c r="G30" s="327"/>
      <c r="H30" s="345"/>
      <c r="I30" s="327"/>
      <c r="J30" s="327"/>
      <c r="K30" s="109" t="s">
        <v>312</v>
      </c>
      <c r="L30" s="107" t="s">
        <v>70</v>
      </c>
      <c r="M30" s="107" t="s">
        <v>71</v>
      </c>
      <c r="N30" s="32">
        <v>3796371795.6700001</v>
      </c>
      <c r="O30" s="32">
        <v>3861444249</v>
      </c>
      <c r="P30" s="38">
        <v>1.7999999999999999E-2</v>
      </c>
      <c r="Q30" s="32">
        <f>2513837447.56+291897058.6/3.026+259774877.3/2.693</f>
        <v>2706763461.1630621</v>
      </c>
      <c r="R30" s="32">
        <f>553224853.256799+32762341/3.026+26475306.9/2.693</f>
        <v>573882957.45934212</v>
      </c>
      <c r="S30" s="32">
        <f t="shared" si="1"/>
        <v>1154680787.8369379</v>
      </c>
      <c r="T30" s="140" t="s">
        <v>52</v>
      </c>
      <c r="U30" s="8"/>
    </row>
    <row r="31" spans="1:21" s="5" customFormat="1" ht="33.75" customHeight="1" outlineLevel="1" x14ac:dyDescent="0.25">
      <c r="A31" s="312">
        <v>17</v>
      </c>
      <c r="B31" s="344" t="s">
        <v>73</v>
      </c>
      <c r="C31" s="346" t="s">
        <v>74</v>
      </c>
      <c r="D31" s="316" t="s">
        <v>64</v>
      </c>
      <c r="E31" s="328" t="s">
        <v>432</v>
      </c>
      <c r="F31" s="327">
        <v>10000000</v>
      </c>
      <c r="G31" s="327">
        <v>9972457.2400000002</v>
      </c>
      <c r="H31" s="347">
        <v>1.4500000000000001E-2</v>
      </c>
      <c r="I31" s="327">
        <v>0</v>
      </c>
      <c r="J31" s="327">
        <f>G31-I31</f>
        <v>9972457.2400000002</v>
      </c>
      <c r="K31" s="318" t="s">
        <v>313</v>
      </c>
      <c r="L31" s="316" t="s">
        <v>75</v>
      </c>
      <c r="M31" s="135" t="s">
        <v>51</v>
      </c>
      <c r="N31" s="32">
        <v>4846628.13</v>
      </c>
      <c r="O31" s="32">
        <v>4737831.22</v>
      </c>
      <c r="P31" s="35">
        <v>7.4999999999999997E-3</v>
      </c>
      <c r="Q31" s="32">
        <f>616176.07+18729201/386.44+19508050/402.51</f>
        <v>713108.07074119058</v>
      </c>
      <c r="R31" s="32">
        <f>353441.51+5923430/386.44+6198654/402.51</f>
        <v>384169.71101438778</v>
      </c>
      <c r="S31" s="32">
        <f t="shared" si="1"/>
        <v>4024723.1492588092</v>
      </c>
      <c r="T31" s="140" t="s">
        <v>76</v>
      </c>
      <c r="U31" s="8"/>
    </row>
    <row r="32" spans="1:21" s="5" customFormat="1" ht="41.25" customHeight="1" outlineLevel="1" x14ac:dyDescent="0.25">
      <c r="A32" s="312"/>
      <c r="B32" s="344"/>
      <c r="C32" s="346"/>
      <c r="D32" s="316"/>
      <c r="E32" s="328"/>
      <c r="F32" s="327"/>
      <c r="G32" s="327"/>
      <c r="H32" s="347"/>
      <c r="I32" s="327"/>
      <c r="J32" s="327"/>
      <c r="K32" s="318"/>
      <c r="L32" s="316"/>
      <c r="M32" s="107" t="s">
        <v>2</v>
      </c>
      <c r="N32" s="32">
        <v>1740568345.9000001</v>
      </c>
      <c r="O32" s="32">
        <v>1740568345.9000001</v>
      </c>
      <c r="P32" s="35">
        <v>7.4999999999999997E-3</v>
      </c>
      <c r="Q32" s="32">
        <f>247100359+17402579+17402579</f>
        <v>281905517</v>
      </c>
      <c r="R32" s="32">
        <f>128165336.87+5554115.8+5580740.4</f>
        <v>139300193.06999999</v>
      </c>
      <c r="S32" s="32">
        <f t="shared" si="1"/>
        <v>1458662828.9000001</v>
      </c>
      <c r="T32" s="140" t="s">
        <v>76</v>
      </c>
      <c r="U32" s="8"/>
    </row>
    <row r="33" spans="1:22" ht="87" customHeight="1" outlineLevel="1" x14ac:dyDescent="0.25">
      <c r="A33" s="104">
        <v>18</v>
      </c>
      <c r="B33" s="131" t="s">
        <v>77</v>
      </c>
      <c r="C33" s="132" t="s">
        <v>78</v>
      </c>
      <c r="D33" s="107" t="s">
        <v>27</v>
      </c>
      <c r="E33" s="117" t="s">
        <v>434</v>
      </c>
      <c r="F33" s="116">
        <f>12782297+5112919</f>
        <v>17895216</v>
      </c>
      <c r="G33" s="116">
        <f>12782297+5112919</f>
        <v>17895216</v>
      </c>
      <c r="H33" s="117"/>
      <c r="I33" s="34">
        <f>2687350+357904</f>
        <v>3045254</v>
      </c>
      <c r="J33" s="116">
        <f>G33-I33</f>
        <v>14849962</v>
      </c>
      <c r="K33" s="109" t="s">
        <v>314</v>
      </c>
      <c r="L33" s="109" t="s">
        <v>79</v>
      </c>
      <c r="M33" s="135" t="s">
        <v>29</v>
      </c>
      <c r="N33" s="39">
        <v>17895215.550000001</v>
      </c>
      <c r="O33" s="32">
        <v>17895215.550000001</v>
      </c>
      <c r="P33" s="35">
        <v>7.4999999999999997E-3</v>
      </c>
      <c r="Q33" s="32">
        <f>7748628.1+130294835.3/415.04+137735052.2/438.74</f>
        <v>8376494.5000054715</v>
      </c>
      <c r="R33" s="32">
        <f>2568161.28+12471869/415.04+3320320/414.34+16171473.8/438.74</f>
        <v>2643083.495521571</v>
      </c>
      <c r="S33" s="32">
        <f t="shared" si="1"/>
        <v>9518721.0499945283</v>
      </c>
      <c r="T33" s="140" t="s">
        <v>52</v>
      </c>
      <c r="U33" s="8"/>
      <c r="V33" s="5"/>
    </row>
    <row r="34" spans="1:22" ht="40.5" customHeight="1" outlineLevel="1" x14ac:dyDescent="0.25">
      <c r="A34" s="312">
        <v>19</v>
      </c>
      <c r="B34" s="330" t="s">
        <v>80</v>
      </c>
      <c r="C34" s="346" t="s">
        <v>81</v>
      </c>
      <c r="D34" s="346" t="s">
        <v>277</v>
      </c>
      <c r="E34" s="353" t="s">
        <v>29</v>
      </c>
      <c r="F34" s="40">
        <v>14500000</v>
      </c>
      <c r="G34" s="40"/>
      <c r="H34" s="132"/>
      <c r="I34" s="41"/>
      <c r="J34" s="40">
        <f>G34-I34</f>
        <v>0</v>
      </c>
      <c r="K34" s="346" t="s">
        <v>315</v>
      </c>
      <c r="L34" s="132" t="s">
        <v>82</v>
      </c>
      <c r="M34" s="135" t="s">
        <v>29</v>
      </c>
      <c r="N34" s="42">
        <v>22000000</v>
      </c>
      <c r="O34" s="32">
        <v>21247150.510000002</v>
      </c>
      <c r="P34" s="133" t="s">
        <v>83</v>
      </c>
      <c r="Q34" s="32">
        <f>1047000+1047000+1047000+1047000+1047000+1047000+1047000</f>
        <v>7329000</v>
      </c>
      <c r="R34" s="32">
        <v>2375876.2999999998</v>
      </c>
      <c r="S34" s="138">
        <f>O34-Q34</f>
        <v>13918150.510000002</v>
      </c>
      <c r="T34" s="322" t="s">
        <v>439</v>
      </c>
      <c r="U34" s="8"/>
      <c r="V34" s="5"/>
    </row>
    <row r="35" spans="1:22" ht="31.5" customHeight="1" outlineLevel="1" x14ac:dyDescent="0.25">
      <c r="A35" s="312"/>
      <c r="B35" s="352"/>
      <c r="C35" s="346"/>
      <c r="D35" s="346"/>
      <c r="E35" s="353"/>
      <c r="F35" s="40">
        <v>14500000</v>
      </c>
      <c r="G35" s="40">
        <v>697853.84</v>
      </c>
      <c r="H35" s="132"/>
      <c r="I35" s="41"/>
      <c r="J35" s="40">
        <f>G35-I35</f>
        <v>697853.84</v>
      </c>
      <c r="K35" s="346"/>
      <c r="L35" s="132" t="s">
        <v>85</v>
      </c>
      <c r="M35" s="135" t="s">
        <v>29</v>
      </c>
      <c r="N35" s="42">
        <v>14500000</v>
      </c>
      <c r="O35" s="32">
        <v>14491281.059999999</v>
      </c>
      <c r="P35" s="133" t="s">
        <v>30</v>
      </c>
      <c r="Q35" s="32">
        <f>241000+241000+241000+241000+241000+241000+241000</f>
        <v>1687000</v>
      </c>
      <c r="R35" s="32">
        <v>628643.69999999995</v>
      </c>
      <c r="S35" s="138">
        <f>O35-Q35</f>
        <v>12804281.059999999</v>
      </c>
      <c r="T35" s="332"/>
      <c r="U35" s="8"/>
      <c r="V35" s="5"/>
    </row>
    <row r="36" spans="1:22" ht="42.75" customHeight="1" outlineLevel="1" x14ac:dyDescent="0.25">
      <c r="A36" s="312"/>
      <c r="B36" s="331"/>
      <c r="C36" s="346"/>
      <c r="D36" s="346"/>
      <c r="E36" s="353"/>
      <c r="F36" s="40">
        <v>22000000</v>
      </c>
      <c r="G36" s="40"/>
      <c r="H36" s="132"/>
      <c r="I36" s="41"/>
      <c r="J36" s="40">
        <f>G36-I36</f>
        <v>0</v>
      </c>
      <c r="K36" s="346"/>
      <c r="L36" s="132" t="s">
        <v>86</v>
      </c>
      <c r="M36" s="135" t="s">
        <v>29</v>
      </c>
      <c r="N36" s="42">
        <v>14500000</v>
      </c>
      <c r="O36" s="32">
        <v>14500000.000000002</v>
      </c>
      <c r="P36" s="133" t="s">
        <v>87</v>
      </c>
      <c r="Q36" s="32">
        <f>2519999.6+630000+630000+630000</f>
        <v>4409999.5999999996</v>
      </c>
      <c r="R36" s="32">
        <v>2336020</v>
      </c>
      <c r="S36" s="138">
        <f>O36-Q36</f>
        <v>10090000.400000002</v>
      </c>
      <c r="T36" s="314"/>
      <c r="U36" s="8"/>
      <c r="V36" s="5"/>
    </row>
    <row r="37" spans="1:22" ht="94.5" customHeight="1" outlineLevel="1" x14ac:dyDescent="0.25">
      <c r="A37" s="104">
        <v>20</v>
      </c>
      <c r="B37" s="132" t="s">
        <v>88</v>
      </c>
      <c r="C37" s="131" t="s">
        <v>89</v>
      </c>
      <c r="D37" s="107" t="s">
        <v>69</v>
      </c>
      <c r="E37" s="117" t="s">
        <v>71</v>
      </c>
      <c r="F37" s="118">
        <v>26409000000</v>
      </c>
      <c r="G37" s="116">
        <v>26399286331</v>
      </c>
      <c r="H37" s="133">
        <v>7.4999999999999997E-3</v>
      </c>
      <c r="I37" s="116">
        <v>432846331</v>
      </c>
      <c r="J37" s="40">
        <f>G37-I37</f>
        <v>25966440000</v>
      </c>
      <c r="K37" s="109" t="s">
        <v>316</v>
      </c>
      <c r="L37" s="107" t="s">
        <v>90</v>
      </c>
      <c r="M37" s="107" t="s">
        <v>71</v>
      </c>
      <c r="N37" s="118">
        <v>26409000000</v>
      </c>
      <c r="O37" s="32">
        <v>26399286331</v>
      </c>
      <c r="P37" s="35">
        <v>7.4999999999999997E-3</v>
      </c>
      <c r="Q37" s="32">
        <f>7357230331.16835+1131704010/2.615</f>
        <v>7790004331.1683502</v>
      </c>
      <c r="R37" s="32">
        <f>2607354309.06995+188428717.2/2.615</f>
        <v>2679411179.8921299</v>
      </c>
      <c r="S37" s="116">
        <f t="shared" ref="S37:S46" si="2">O37-Q37</f>
        <v>18609281999.83165</v>
      </c>
      <c r="T37" s="140" t="s">
        <v>91</v>
      </c>
      <c r="U37" s="8"/>
      <c r="V37" s="5"/>
    </row>
    <row r="38" spans="1:22" ht="51.75" customHeight="1" outlineLevel="1" x14ac:dyDescent="0.25">
      <c r="A38" s="104">
        <v>21</v>
      </c>
      <c r="B38" s="131" t="s">
        <v>25</v>
      </c>
      <c r="C38" s="132" t="s">
        <v>92</v>
      </c>
      <c r="D38" s="132" t="s">
        <v>93</v>
      </c>
      <c r="E38" s="117"/>
      <c r="F38" s="117"/>
      <c r="G38" s="117"/>
      <c r="H38" s="117"/>
      <c r="I38" s="117"/>
      <c r="J38" s="117"/>
      <c r="K38" s="109" t="s">
        <v>317</v>
      </c>
      <c r="L38" s="107" t="s">
        <v>94</v>
      </c>
      <c r="M38" s="135" t="s">
        <v>51</v>
      </c>
      <c r="N38" s="32">
        <v>8988290</v>
      </c>
      <c r="O38" s="32">
        <v>8988290</v>
      </c>
      <c r="P38" s="38">
        <v>5.0000000000000001E-3</v>
      </c>
      <c r="Q38" s="32">
        <f>4199999.97+600000+600000+289644000/482.74+290820000/484.7+286458000/477.43+600000+600000+231939215.4/394.26</f>
        <v>8988289.9699999988</v>
      </c>
      <c r="R38" s="32">
        <f>838542.942447016+522591.6/394.26</f>
        <v>839868.44237092405</v>
      </c>
      <c r="S38" s="116">
        <f t="shared" si="2"/>
        <v>3.0000001192092896E-2</v>
      </c>
      <c r="T38" s="140" t="s">
        <v>76</v>
      </c>
      <c r="U38" s="8"/>
      <c r="V38" s="5"/>
    </row>
    <row r="39" spans="1:22" ht="63.75" customHeight="1" outlineLevel="1" x14ac:dyDescent="0.25">
      <c r="A39" s="104">
        <v>22</v>
      </c>
      <c r="B39" s="131" t="s">
        <v>95</v>
      </c>
      <c r="C39" s="132" t="s">
        <v>92</v>
      </c>
      <c r="D39" s="132" t="s">
        <v>96</v>
      </c>
      <c r="E39" s="117"/>
      <c r="F39" s="117"/>
      <c r="G39" s="117"/>
      <c r="H39" s="117"/>
      <c r="I39" s="117"/>
      <c r="J39" s="117"/>
      <c r="K39" s="43" t="s">
        <v>318</v>
      </c>
      <c r="L39" s="32" t="s">
        <v>97</v>
      </c>
      <c r="M39" s="40" t="s">
        <v>2</v>
      </c>
      <c r="N39" s="32">
        <v>1757100000</v>
      </c>
      <c r="O39" s="32">
        <v>1757100000</v>
      </c>
      <c r="P39" s="35">
        <v>7.4999999999999997E-3</v>
      </c>
      <c r="Q39" s="32">
        <f>439275000+62753571.5+62753571.5+62753571.3+62753571.4+62753571.4+62753571.4+62753571.5+62753571.5+62753571.5</f>
        <v>1004057142.9999999</v>
      </c>
      <c r="R39" s="32">
        <f>303383430.5+3313904.4+3032802.7</f>
        <v>309730137.59999996</v>
      </c>
      <c r="S39" s="116">
        <f t="shared" si="2"/>
        <v>753042857.00000012</v>
      </c>
      <c r="T39" s="140" t="s">
        <v>76</v>
      </c>
      <c r="U39" s="8"/>
      <c r="V39" s="5"/>
    </row>
    <row r="40" spans="1:22" ht="63.75" customHeight="1" outlineLevel="1" x14ac:dyDescent="0.25">
      <c r="A40" s="110">
        <v>23</v>
      </c>
      <c r="B40" s="131" t="s">
        <v>95</v>
      </c>
      <c r="C40" s="111" t="s">
        <v>98</v>
      </c>
      <c r="D40" s="132"/>
      <c r="E40" s="117"/>
      <c r="F40" s="117"/>
      <c r="G40" s="117"/>
      <c r="H40" s="117"/>
      <c r="I40" s="117"/>
      <c r="J40" s="117"/>
      <c r="K40" s="43" t="s">
        <v>319</v>
      </c>
      <c r="L40" s="32" t="s">
        <v>99</v>
      </c>
      <c r="M40" s="40" t="s">
        <v>2</v>
      </c>
      <c r="N40" s="32">
        <v>18700000000</v>
      </c>
      <c r="O40" s="32">
        <v>18700000000</v>
      </c>
      <c r="P40" s="114">
        <v>7.4999999999999997E-2</v>
      </c>
      <c r="Q40" s="32">
        <f>890476190.5+890476190.5+890476190.5+890476190.5</f>
        <v>3561904762</v>
      </c>
      <c r="R40" s="32">
        <f>1333335616.4+703171232.9+699328767.1+670052837.5+632909002+602718199.6</f>
        <v>4641515655.5</v>
      </c>
      <c r="S40" s="116">
        <f t="shared" si="2"/>
        <v>15138095238</v>
      </c>
      <c r="T40" s="140" t="s">
        <v>76</v>
      </c>
      <c r="U40" s="8"/>
      <c r="V40" s="5"/>
    </row>
    <row r="41" spans="1:22" ht="63.75" customHeight="1" outlineLevel="1" x14ac:dyDescent="0.25">
      <c r="A41" s="110">
        <v>24</v>
      </c>
      <c r="B41" s="131" t="s">
        <v>95</v>
      </c>
      <c r="C41" s="111" t="s">
        <v>278</v>
      </c>
      <c r="D41" s="132"/>
      <c r="E41" s="117"/>
      <c r="F41" s="117"/>
      <c r="G41" s="117"/>
      <c r="H41" s="117"/>
      <c r="I41" s="117"/>
      <c r="J41" s="117"/>
      <c r="K41" s="44"/>
      <c r="L41" s="32" t="s">
        <v>265</v>
      </c>
      <c r="M41" s="40" t="s">
        <v>2</v>
      </c>
      <c r="N41" s="32">
        <v>25000000000</v>
      </c>
      <c r="O41" s="32">
        <v>25000000000</v>
      </c>
      <c r="P41" s="114">
        <v>0.09</v>
      </c>
      <c r="Q41" s="32">
        <f>1190476190.4+1190476190.5</f>
        <v>2380952380.9000001</v>
      </c>
      <c r="R41" s="32">
        <f>1171232876.7+1121917808.3+1128082191.8+1121917808.2+1074363992.2</f>
        <v>5617514677.1999998</v>
      </c>
      <c r="S41" s="116">
        <f t="shared" si="2"/>
        <v>22619047619.099998</v>
      </c>
      <c r="T41" s="140" t="s">
        <v>76</v>
      </c>
      <c r="U41" s="8"/>
      <c r="V41" s="5"/>
    </row>
    <row r="42" spans="1:22" ht="63.75" customHeight="1" outlineLevel="1" x14ac:dyDescent="0.25">
      <c r="A42" s="110">
        <v>25</v>
      </c>
      <c r="B42" s="131" t="s">
        <v>95</v>
      </c>
      <c r="C42" s="111" t="s">
        <v>268</v>
      </c>
      <c r="D42" s="132"/>
      <c r="E42" s="117"/>
      <c r="F42" s="117"/>
      <c r="G42" s="117"/>
      <c r="H42" s="117"/>
      <c r="I42" s="117"/>
      <c r="J42" s="117"/>
      <c r="K42" s="43" t="s">
        <v>320</v>
      </c>
      <c r="L42" s="32" t="s">
        <v>269</v>
      </c>
      <c r="M42" s="40" t="s">
        <v>2</v>
      </c>
      <c r="N42" s="32">
        <v>2242223800</v>
      </c>
      <c r="O42" s="32">
        <v>2242223800</v>
      </c>
      <c r="P42" s="45">
        <v>9.1240000000000002E-2</v>
      </c>
      <c r="Q42" s="32">
        <v>2242223800</v>
      </c>
      <c r="R42" s="32">
        <v>297062095</v>
      </c>
      <c r="S42" s="116">
        <f t="shared" si="2"/>
        <v>0</v>
      </c>
      <c r="T42" s="140" t="s">
        <v>76</v>
      </c>
      <c r="U42" s="8"/>
      <c r="V42" s="5"/>
    </row>
    <row r="43" spans="1:22" ht="57.75" customHeight="1" outlineLevel="1" x14ac:dyDescent="0.25">
      <c r="A43" s="321">
        <v>26</v>
      </c>
      <c r="B43" s="330" t="s">
        <v>95</v>
      </c>
      <c r="C43" s="322" t="s">
        <v>100</v>
      </c>
      <c r="D43" s="107" t="s">
        <v>101</v>
      </c>
      <c r="E43" s="135" t="s">
        <v>51</v>
      </c>
      <c r="F43" s="116">
        <v>270000000</v>
      </c>
      <c r="G43" s="46">
        <v>7766059.0499999998</v>
      </c>
      <c r="H43" s="117"/>
      <c r="I43" s="117"/>
      <c r="J43" s="117"/>
      <c r="K43" s="323" t="s">
        <v>321</v>
      </c>
      <c r="L43" s="348" t="s">
        <v>102</v>
      </c>
      <c r="M43" s="135" t="s">
        <v>51</v>
      </c>
      <c r="N43" s="36">
        <v>270000000</v>
      </c>
      <c r="O43" s="32">
        <v>173574580.28</v>
      </c>
      <c r="P43" s="350">
        <v>0.03</v>
      </c>
      <c r="Q43" s="32">
        <f>51199088.7002228+3370009369.8/394.93+3295429324.9/386.19+3461143748.2/405.61</f>
        <v>76798633.100286514</v>
      </c>
      <c r="R43" s="32">
        <f>20309911.275649+723428666.7/394.93+646453366.1/386.19+636850451.3/405.61</f>
        <v>25385731.975636914</v>
      </c>
      <c r="S43" s="116">
        <f t="shared" si="2"/>
        <v>96775947.179713488</v>
      </c>
      <c r="T43" s="319" t="s">
        <v>84</v>
      </c>
      <c r="U43" s="8"/>
      <c r="V43" s="5"/>
    </row>
    <row r="44" spans="1:22" ht="57.75" customHeight="1" outlineLevel="1" x14ac:dyDescent="0.25">
      <c r="A44" s="311"/>
      <c r="B44" s="331"/>
      <c r="C44" s="314"/>
      <c r="D44" s="113"/>
      <c r="E44" s="47"/>
      <c r="F44" s="124"/>
      <c r="G44" s="48"/>
      <c r="H44" s="127"/>
      <c r="I44" s="127"/>
      <c r="J44" s="127"/>
      <c r="K44" s="317"/>
      <c r="L44" s="349"/>
      <c r="M44" s="40" t="s">
        <v>2</v>
      </c>
      <c r="N44" s="37">
        <v>1265847400</v>
      </c>
      <c r="O44" s="32">
        <f>9509488626+108542329</f>
        <v>9618030955</v>
      </c>
      <c r="P44" s="351"/>
      <c r="Q44" s="32">
        <f>2858334735.47632+482835444.3+482835444.2+482835444.3</f>
        <v>4306841068.2763195</v>
      </c>
      <c r="R44" s="32">
        <f>1045375895.11175+103648675.3+94716219.7+88841721.7</f>
        <v>1332582511.8117502</v>
      </c>
      <c r="S44" s="116">
        <f t="shared" si="2"/>
        <v>5311189886.7236805</v>
      </c>
      <c r="T44" s="320"/>
      <c r="U44" s="8"/>
      <c r="V44" s="5"/>
    </row>
    <row r="45" spans="1:22" ht="57.75" customHeight="1" outlineLevel="1" x14ac:dyDescent="0.25">
      <c r="A45" s="104">
        <v>27</v>
      </c>
      <c r="B45" s="131" t="s">
        <v>95</v>
      </c>
      <c r="C45" s="132" t="s">
        <v>103</v>
      </c>
      <c r="D45" s="107"/>
      <c r="E45" s="135"/>
      <c r="F45" s="116"/>
      <c r="G45" s="46"/>
      <c r="H45" s="117"/>
      <c r="I45" s="117"/>
      <c r="J45" s="117"/>
      <c r="K45" s="108" t="s">
        <v>322</v>
      </c>
      <c r="L45" s="138" t="s">
        <v>104</v>
      </c>
      <c r="M45" s="31" t="s">
        <v>51</v>
      </c>
      <c r="N45" s="36">
        <v>8907500</v>
      </c>
      <c r="O45" s="32">
        <v>8907384.7100000009</v>
      </c>
      <c r="P45" s="325" t="s">
        <v>368</v>
      </c>
      <c r="Q45" s="32"/>
      <c r="R45" s="32">
        <f>1241236.45+96159781.6/386.38+118034920.8/403.19</f>
        <v>1782862.6500977012</v>
      </c>
      <c r="S45" s="125">
        <f t="shared" si="2"/>
        <v>8907384.7100000009</v>
      </c>
      <c r="T45" s="141" t="s">
        <v>105</v>
      </c>
      <c r="U45" s="8"/>
      <c r="V45" s="5"/>
    </row>
    <row r="46" spans="1:22" ht="78.75" customHeight="1" outlineLevel="1" thickBot="1" x14ac:dyDescent="0.3">
      <c r="A46" s="132">
        <v>28</v>
      </c>
      <c r="B46" s="105" t="s">
        <v>88</v>
      </c>
      <c r="C46" s="121" t="s">
        <v>103</v>
      </c>
      <c r="D46" s="122"/>
      <c r="E46" s="49"/>
      <c r="F46" s="125"/>
      <c r="G46" s="50"/>
      <c r="H46" s="128"/>
      <c r="I46" s="128"/>
      <c r="J46" s="128"/>
      <c r="K46" s="108" t="s">
        <v>323</v>
      </c>
      <c r="L46" s="51" t="s">
        <v>104</v>
      </c>
      <c r="M46" s="49" t="s">
        <v>51</v>
      </c>
      <c r="N46" s="52">
        <v>21092500</v>
      </c>
      <c r="O46" s="32">
        <v>21092210.790000003</v>
      </c>
      <c r="P46" s="358"/>
      <c r="Q46" s="32"/>
      <c r="R46" s="32">
        <f>3081286.01+227668040/386.38+279535083/403.19</f>
        <v>4363828.0823399555</v>
      </c>
      <c r="S46" s="124">
        <f t="shared" si="2"/>
        <v>21092210.790000003</v>
      </c>
      <c r="T46" s="141" t="s">
        <v>106</v>
      </c>
      <c r="U46" s="8"/>
    </row>
    <row r="47" spans="1:22" s="9" customFormat="1" ht="15" customHeight="1" x14ac:dyDescent="0.25">
      <c r="A47" s="359" t="s">
        <v>115</v>
      </c>
      <c r="B47" s="360"/>
      <c r="C47" s="360"/>
      <c r="D47" s="363" t="s">
        <v>29</v>
      </c>
      <c r="E47" s="363"/>
      <c r="F47" s="363"/>
      <c r="G47" s="363"/>
      <c r="H47" s="363"/>
      <c r="I47" s="363"/>
      <c r="J47" s="363"/>
      <c r="K47" s="363"/>
      <c r="L47" s="363"/>
      <c r="M47" s="53"/>
      <c r="N47" s="10">
        <f>SUMIF($M$5:$M$46,D47,$N$5:$N$46)</f>
        <v>275755742.28000003</v>
      </c>
      <c r="O47" s="10">
        <f>SUMIF($M$5:$M$46,D47,$O$5:$O$46)</f>
        <v>97929055.540000007</v>
      </c>
      <c r="P47" s="10"/>
      <c r="Q47" s="10">
        <f>SUMIF($M$5:$M$46,D47,$Q$5:$Q$46)</f>
        <v>37018590.7398488</v>
      </c>
      <c r="R47" s="10">
        <f>SUMIF($M$5:$M$46,D47,$R$5:$R$46)</f>
        <v>16520985.737643212</v>
      </c>
      <c r="S47" s="10">
        <f>SUMIF($M$5:$M$46,D47,$S$5:$S$46)</f>
        <v>60910464.800151199</v>
      </c>
      <c r="T47" s="147"/>
      <c r="U47" s="8"/>
    </row>
    <row r="48" spans="1:22" s="9" customFormat="1" ht="15" customHeight="1" x14ac:dyDescent="0.25">
      <c r="A48" s="361"/>
      <c r="B48" s="362"/>
      <c r="C48" s="362"/>
      <c r="D48" s="364" t="s">
        <v>2</v>
      </c>
      <c r="E48" s="364"/>
      <c r="F48" s="364"/>
      <c r="G48" s="364"/>
      <c r="H48" s="364"/>
      <c r="I48" s="364"/>
      <c r="J48" s="364"/>
      <c r="K48" s="364"/>
      <c r="L48" s="364"/>
      <c r="M48" s="54"/>
      <c r="N48" s="11">
        <f>SUMIF($M$5:$M$46,D48,$N$5:$N$46)</f>
        <v>50705739545.900002</v>
      </c>
      <c r="O48" s="11">
        <f>SUMIF($M$5:$M$46,D48,$O$5:$O$46)</f>
        <v>69656751380</v>
      </c>
      <c r="P48" s="11"/>
      <c r="Q48" s="11">
        <f>SUMIF($M$5:$M$46,D48,$Q$5:$Q$46)</f>
        <v>14934237882.47632</v>
      </c>
      <c r="R48" s="11">
        <f>SUMIF($M$5:$M$46,D48,$R$5:$R$46)</f>
        <v>14345630066.421751</v>
      </c>
      <c r="S48" s="11">
        <f>SUMIF($M$5:$M$46,D48,$S$5:$S$46)</f>
        <v>54722513497.523682</v>
      </c>
      <c r="T48" s="148"/>
      <c r="U48" s="8"/>
    </row>
    <row r="49" spans="1:21" s="9" customFormat="1" ht="15" customHeight="1" x14ac:dyDescent="0.25">
      <c r="A49" s="361"/>
      <c r="B49" s="362"/>
      <c r="C49" s="362"/>
      <c r="D49" s="364" t="s">
        <v>51</v>
      </c>
      <c r="E49" s="364"/>
      <c r="F49" s="364"/>
      <c r="G49" s="364"/>
      <c r="H49" s="364"/>
      <c r="I49" s="364"/>
      <c r="J49" s="364"/>
      <c r="K49" s="364"/>
      <c r="L49" s="364"/>
      <c r="M49" s="54"/>
      <c r="N49" s="11">
        <f>SUMIF($M$5:$M$46,D49,$N$5:$N$46)</f>
        <v>443654882.94000006</v>
      </c>
      <c r="O49" s="11">
        <f>SUMIF($M$5:$M$46,D49,$O$5:$O$46)</f>
        <v>327049444.97000003</v>
      </c>
      <c r="P49" s="11"/>
      <c r="Q49" s="11">
        <f>SUMIF($M$5:$M$46,D49,$Q$5:$Q$46)</f>
        <v>104132340.85582891</v>
      </c>
      <c r="R49" s="11">
        <f>SUMIF($M$5:$M$46,D49,$R$5:$R$46)</f>
        <v>52568288.56343662</v>
      </c>
      <c r="S49" s="11">
        <f>SUMIF($M$5:$M$46,D49,$S$5:$S$46)</f>
        <v>222917104.11417109</v>
      </c>
      <c r="T49" s="148"/>
      <c r="U49" s="8"/>
    </row>
    <row r="50" spans="1:21" s="9" customFormat="1" ht="15" customHeight="1" x14ac:dyDescent="0.25">
      <c r="A50" s="361"/>
      <c r="B50" s="362"/>
      <c r="C50" s="362"/>
      <c r="D50" s="365" t="s">
        <v>71</v>
      </c>
      <c r="E50" s="365"/>
      <c r="F50" s="365"/>
      <c r="G50" s="365"/>
      <c r="H50" s="365"/>
      <c r="I50" s="365"/>
      <c r="J50" s="365"/>
      <c r="K50" s="365"/>
      <c r="L50" s="365"/>
      <c r="M50" s="55"/>
      <c r="N50" s="56">
        <f>SUMIF($M$5:$M$46,D50,$N$5:$N$46)</f>
        <v>31777311969</v>
      </c>
      <c r="O50" s="56">
        <f>SUMIF($M$5:$M$46,D50,$O$5:$O$46)</f>
        <v>31859249643</v>
      </c>
      <c r="P50" s="56"/>
      <c r="Q50" s="56">
        <f>SUMIF($M$5:$M$46,D50,$Q$5:$Q$46)</f>
        <v>11608502507.734192</v>
      </c>
      <c r="R50" s="56">
        <f>SUMIF($M$5:$M$46,D50,$R$5:$R$46)</f>
        <v>3488879860.0944376</v>
      </c>
      <c r="S50" s="56">
        <f>SUMIF($M$5:$M$46,D50,$S$5:$S$46)</f>
        <v>20250747135.265808</v>
      </c>
      <c r="T50" s="149"/>
      <c r="U50" s="8"/>
    </row>
    <row r="51" spans="1:21" s="9" customFormat="1" ht="15" customHeight="1" thickBot="1" x14ac:dyDescent="0.3">
      <c r="A51" s="361"/>
      <c r="B51" s="362"/>
      <c r="C51" s="362"/>
      <c r="D51" s="366" t="s">
        <v>61</v>
      </c>
      <c r="E51" s="367"/>
      <c r="F51" s="367"/>
      <c r="G51" s="367"/>
      <c r="H51" s="367"/>
      <c r="I51" s="367"/>
      <c r="J51" s="367"/>
      <c r="K51" s="367"/>
      <c r="L51" s="368"/>
      <c r="M51" s="57"/>
      <c r="N51" s="12">
        <f>SUMIF($M$5:$M$46,D51,$N$5:$N$46)</f>
        <v>24086688</v>
      </c>
      <c r="O51" s="12">
        <f>SUMIF($M$5:$M$46,D51,$O$5:$O$46)</f>
        <v>18384172.012149811</v>
      </c>
      <c r="P51" s="12"/>
      <c r="Q51" s="12">
        <f>SUMIF($M$5:$M$46,D51,$Q$5:$Q$46)</f>
        <v>3889303.4021576373</v>
      </c>
      <c r="R51" s="12">
        <f>SUMIF($M$5:$M$46,D51,$R$5:$R$46)</f>
        <v>2687639.4595199237</v>
      </c>
      <c r="S51" s="12">
        <f>SUMIF($M$5:$M$46,D51,$S$5:$S$46)</f>
        <v>14494868.609992173</v>
      </c>
      <c r="T51" s="150"/>
      <c r="U51" s="8"/>
    </row>
    <row r="52" spans="1:21" ht="78" customHeight="1" outlineLevel="1" x14ac:dyDescent="0.25">
      <c r="A52" s="103">
        <v>29</v>
      </c>
      <c r="B52" s="120" t="s">
        <v>116</v>
      </c>
      <c r="C52" s="105" t="s">
        <v>117</v>
      </c>
      <c r="D52" s="106" t="s">
        <v>118</v>
      </c>
      <c r="E52" s="31" t="s">
        <v>29</v>
      </c>
      <c r="F52" s="126">
        <v>5000000</v>
      </c>
      <c r="G52" s="126">
        <v>5000000</v>
      </c>
      <c r="H52" s="115" t="s">
        <v>120</v>
      </c>
      <c r="I52" s="29">
        <v>1041667</v>
      </c>
      <c r="J52" s="126">
        <f>G52-I52</f>
        <v>3958333</v>
      </c>
      <c r="K52" s="108" t="s">
        <v>324</v>
      </c>
      <c r="L52" s="108" t="s">
        <v>119</v>
      </c>
      <c r="M52" s="31" t="s">
        <v>29</v>
      </c>
      <c r="N52" s="138">
        <v>5000000</v>
      </c>
      <c r="O52" s="138">
        <v>5000000</v>
      </c>
      <c r="P52" s="115" t="s">
        <v>120</v>
      </c>
      <c r="Q52" s="138">
        <f>4166666.69+208333.33+88124985.9/423</f>
        <v>4583333.3199999994</v>
      </c>
      <c r="R52" s="138">
        <f>553011.29+6019459.2/423</f>
        <v>567241.69000000006</v>
      </c>
      <c r="S52" s="138">
        <f t="shared" ref="S52:S57" si="3">O52-Q52</f>
        <v>416666.68000000063</v>
      </c>
      <c r="T52" s="145" t="s">
        <v>76</v>
      </c>
    </row>
    <row r="53" spans="1:21" ht="71.25" customHeight="1" outlineLevel="1" x14ac:dyDescent="0.25">
      <c r="A53" s="110">
        <v>30</v>
      </c>
      <c r="B53" s="330" t="s">
        <v>121</v>
      </c>
      <c r="C53" s="111" t="s">
        <v>122</v>
      </c>
      <c r="D53" s="113" t="s">
        <v>118</v>
      </c>
      <c r="E53" s="135" t="s">
        <v>29</v>
      </c>
      <c r="F53" s="116">
        <v>5000000</v>
      </c>
      <c r="G53" s="116">
        <f>3302053.81+58000+43500</f>
        <v>3403553.81</v>
      </c>
      <c r="H53" s="35" t="s">
        <v>120</v>
      </c>
      <c r="I53" s="116">
        <v>0</v>
      </c>
      <c r="J53" s="116">
        <f>G53-I53</f>
        <v>3403553.81</v>
      </c>
      <c r="K53" s="112" t="s">
        <v>325</v>
      </c>
      <c r="L53" s="112" t="s">
        <v>123</v>
      </c>
      <c r="M53" s="135" t="s">
        <v>29</v>
      </c>
      <c r="N53" s="32">
        <v>5000000</v>
      </c>
      <c r="O53" s="32">
        <v>5000000</v>
      </c>
      <c r="P53" s="114" t="s">
        <v>120</v>
      </c>
      <c r="Q53" s="32">
        <f>3125000+208333.33+88124985.9/423</f>
        <v>3541666.63</v>
      </c>
      <c r="R53" s="32">
        <f>320254.8+16091046.9/423</f>
        <v>358295.1</v>
      </c>
      <c r="S53" s="32">
        <f t="shared" si="3"/>
        <v>1458333.37</v>
      </c>
      <c r="T53" s="322" t="s">
        <v>76</v>
      </c>
    </row>
    <row r="54" spans="1:21" ht="71.25" customHeight="1" outlineLevel="1" x14ac:dyDescent="0.25">
      <c r="A54" s="110">
        <v>31</v>
      </c>
      <c r="B54" s="331"/>
      <c r="C54" s="111"/>
      <c r="D54" s="113"/>
      <c r="E54" s="135"/>
      <c r="F54" s="116"/>
      <c r="G54" s="116"/>
      <c r="H54" s="35"/>
      <c r="I54" s="116"/>
      <c r="J54" s="116"/>
      <c r="K54" s="112"/>
      <c r="L54" s="112"/>
      <c r="M54" s="47" t="s">
        <v>2</v>
      </c>
      <c r="N54" s="32"/>
      <c r="O54" s="32">
        <v>66094595</v>
      </c>
      <c r="P54" s="114"/>
      <c r="Q54" s="32">
        <f>6609471.44+6609433.4+6609473.7</f>
        <v>19828378.539999999</v>
      </c>
      <c r="R54" s="32">
        <f>1088882.59773529+1190830.4</f>
        <v>2279712.9977352899</v>
      </c>
      <c r="S54" s="32">
        <f t="shared" si="3"/>
        <v>46266216.460000001</v>
      </c>
      <c r="T54" s="314"/>
    </row>
    <row r="55" spans="1:21" ht="55.5" customHeight="1" outlineLevel="1" x14ac:dyDescent="0.25">
      <c r="A55" s="104">
        <v>32</v>
      </c>
      <c r="B55" s="131" t="s">
        <v>124</v>
      </c>
      <c r="C55" s="132" t="s">
        <v>125</v>
      </c>
      <c r="D55" s="107" t="s">
        <v>126</v>
      </c>
      <c r="E55" s="135" t="s">
        <v>29</v>
      </c>
      <c r="F55" s="116">
        <v>5000000</v>
      </c>
      <c r="G55" s="116">
        <v>5000000</v>
      </c>
      <c r="H55" s="35" t="s">
        <v>435</v>
      </c>
      <c r="I55" s="34"/>
      <c r="J55" s="116">
        <f>G55-I55</f>
        <v>5000000</v>
      </c>
      <c r="K55" s="109" t="s">
        <v>326</v>
      </c>
      <c r="L55" s="109" t="s">
        <v>127</v>
      </c>
      <c r="M55" s="135" t="s">
        <v>29</v>
      </c>
      <c r="N55" s="32">
        <v>5000000</v>
      </c>
      <c r="O55" s="32">
        <v>5000000</v>
      </c>
      <c r="P55" s="35" t="s">
        <v>120</v>
      </c>
      <c r="Q55" s="32">
        <f>3227272.74+97124988.4/427.35+96136352.1/423</f>
        <v>3681818.1401287005</v>
      </c>
      <c r="R55" s="32">
        <v>475298.33641151118</v>
      </c>
      <c r="S55" s="32">
        <f t="shared" si="3"/>
        <v>1318181.8598712995</v>
      </c>
      <c r="T55" s="140" t="s">
        <v>76</v>
      </c>
    </row>
    <row r="56" spans="1:21" ht="57" customHeight="1" outlineLevel="1" x14ac:dyDescent="0.25">
      <c r="A56" s="321">
        <v>33</v>
      </c>
      <c r="B56" s="330" t="s">
        <v>128</v>
      </c>
      <c r="C56" s="322" t="s">
        <v>129</v>
      </c>
      <c r="D56" s="113" t="s">
        <v>126</v>
      </c>
      <c r="E56" s="47" t="s">
        <v>29</v>
      </c>
      <c r="F56" s="124">
        <v>5000000</v>
      </c>
      <c r="G56" s="124">
        <v>2000000</v>
      </c>
      <c r="H56" s="114" t="s">
        <v>436</v>
      </c>
      <c r="I56" s="124">
        <v>0</v>
      </c>
      <c r="J56" s="124">
        <f>G56-I56</f>
        <v>2000000</v>
      </c>
      <c r="K56" s="112" t="s">
        <v>327</v>
      </c>
      <c r="L56" s="112" t="s">
        <v>130</v>
      </c>
      <c r="M56" s="47" t="s">
        <v>29</v>
      </c>
      <c r="N56" s="137">
        <v>5000000</v>
      </c>
      <c r="O56" s="32">
        <v>3000000</v>
      </c>
      <c r="P56" s="45" t="s">
        <v>279</v>
      </c>
      <c r="Q56" s="32">
        <f>676724.137931034+46797420.6/423</f>
        <v>787356.33793103392</v>
      </c>
      <c r="R56" s="32">
        <f>222742.9+6254858.7/423</f>
        <v>237529.8</v>
      </c>
      <c r="S56" s="137">
        <f t="shared" si="3"/>
        <v>2212643.6620689658</v>
      </c>
      <c r="T56" s="319" t="s">
        <v>76</v>
      </c>
    </row>
    <row r="57" spans="1:21" ht="57" customHeight="1" outlineLevel="1" thickBot="1" x14ac:dyDescent="0.3">
      <c r="A57" s="354"/>
      <c r="B57" s="355"/>
      <c r="C57" s="356"/>
      <c r="D57" s="113" t="s">
        <v>126</v>
      </c>
      <c r="E57" s="47" t="s">
        <v>29</v>
      </c>
      <c r="F57" s="124">
        <v>5000000</v>
      </c>
      <c r="G57" s="124">
        <v>2000000</v>
      </c>
      <c r="H57" s="114" t="s">
        <v>436</v>
      </c>
      <c r="I57" s="124">
        <v>0</v>
      </c>
      <c r="J57" s="124">
        <f>G57-I57</f>
        <v>2000000</v>
      </c>
      <c r="K57" s="112" t="s">
        <v>327</v>
      </c>
      <c r="L57" s="112" t="s">
        <v>266</v>
      </c>
      <c r="M57" s="47" t="s">
        <v>2</v>
      </c>
      <c r="N57" s="137"/>
      <c r="O57" s="32">
        <v>69055257.109999999</v>
      </c>
      <c r="P57" s="45">
        <v>1.404E-2</v>
      </c>
      <c r="Q57" s="32">
        <f>9751561.92837819+3148517</f>
        <v>12900078.928378191</v>
      </c>
      <c r="R57" s="32">
        <f>1328413.8+491137.6</f>
        <v>1819551.4</v>
      </c>
      <c r="S57" s="137">
        <f t="shared" si="3"/>
        <v>56155178.181621805</v>
      </c>
      <c r="T57" s="357"/>
    </row>
    <row r="58" spans="1:21" s="9" customFormat="1" ht="15" customHeight="1" x14ac:dyDescent="0.25">
      <c r="A58" s="359" t="s">
        <v>131</v>
      </c>
      <c r="B58" s="360"/>
      <c r="C58" s="360"/>
      <c r="D58" s="363" t="s">
        <v>29</v>
      </c>
      <c r="E58" s="363"/>
      <c r="F58" s="363"/>
      <c r="G58" s="363"/>
      <c r="H58" s="363"/>
      <c r="I58" s="363"/>
      <c r="J58" s="363"/>
      <c r="K58" s="363"/>
      <c r="L58" s="363"/>
      <c r="M58" s="53"/>
      <c r="N58" s="10">
        <f>SUMIF($M$52:$M$57,D58,$N$52:$N$57)</f>
        <v>20000000</v>
      </c>
      <c r="O58" s="10">
        <f>SUMIF($M$52:$M$57,D58,$O$52:$O$57)</f>
        <v>18000000</v>
      </c>
      <c r="P58" s="13"/>
      <c r="Q58" s="10">
        <f>SUMIF($M$52:$M$57,D58,$Q$52:$Q$57)</f>
        <v>12594174.428059733</v>
      </c>
      <c r="R58" s="10">
        <f>SUMIF($M$52:$M$57,D58,$R$52:$R$57)</f>
        <v>1638364.9264115111</v>
      </c>
      <c r="S58" s="10">
        <f>SUMIF($M$52:$M$57,D58,$S$52:$S$57)</f>
        <v>5405825.5719402656</v>
      </c>
      <c r="T58" s="147"/>
      <c r="U58" s="8"/>
    </row>
    <row r="59" spans="1:21" s="9" customFormat="1" ht="15" customHeight="1" x14ac:dyDescent="0.25">
      <c r="A59" s="361"/>
      <c r="B59" s="362"/>
      <c r="C59" s="362"/>
      <c r="D59" s="364" t="s">
        <v>2</v>
      </c>
      <c r="E59" s="364"/>
      <c r="F59" s="364"/>
      <c r="G59" s="364"/>
      <c r="H59" s="364"/>
      <c r="I59" s="364"/>
      <c r="J59" s="364"/>
      <c r="K59" s="364"/>
      <c r="L59" s="364"/>
      <c r="M59" s="54"/>
      <c r="N59" s="11">
        <f>SUMIF($M$52:$M$57,D59,$N$52:$N$57)</f>
        <v>0</v>
      </c>
      <c r="O59" s="11">
        <f>SUMIF($M$52:$M$57,D59,$O$52:$O$57)</f>
        <v>135149852.11000001</v>
      </c>
      <c r="P59" s="11"/>
      <c r="Q59" s="11">
        <f>SUMIF($M$52:$M$57,D59,$Q$52:$Q$57)</f>
        <v>32728457.46837819</v>
      </c>
      <c r="R59" s="11">
        <f>SUMIF($M$52:$M$57,D59,$R$52:$R$57)</f>
        <v>4099264.3977352898</v>
      </c>
      <c r="S59" s="11">
        <f>SUMIF($M$52:$M$57,D59,$S$52:$S$57)</f>
        <v>102421394.6416218</v>
      </c>
      <c r="T59" s="148"/>
      <c r="U59" s="8"/>
    </row>
    <row r="60" spans="1:21" s="9" customFormat="1" ht="15" customHeight="1" x14ac:dyDescent="0.25">
      <c r="A60" s="361"/>
      <c r="B60" s="362"/>
      <c r="C60" s="362"/>
      <c r="D60" s="364" t="s">
        <v>51</v>
      </c>
      <c r="E60" s="364"/>
      <c r="F60" s="364"/>
      <c r="G60" s="364"/>
      <c r="H60" s="364"/>
      <c r="I60" s="364"/>
      <c r="J60" s="364"/>
      <c r="K60" s="364"/>
      <c r="L60" s="364"/>
      <c r="M60" s="54"/>
      <c r="N60" s="11">
        <f>SUMIF($M$52:$M$57,D60,$N$52:$N$57)</f>
        <v>0</v>
      </c>
      <c r="O60" s="11">
        <f>SUMIF($M$52:$M$57,D60,$O$52:$O$57)</f>
        <v>0</v>
      </c>
      <c r="P60" s="11"/>
      <c r="Q60" s="11">
        <f>SUMIF($M$52:$M$57,D60,$Q$52:$Q$57)</f>
        <v>0</v>
      </c>
      <c r="R60" s="11">
        <f>SUMIF($M$52:$M$57,D60,$R$52:$R$57)</f>
        <v>0</v>
      </c>
      <c r="S60" s="11">
        <f>SUMIF($M$52:$M$57,D60,$S$52:$S$57)</f>
        <v>0</v>
      </c>
      <c r="T60" s="148"/>
      <c r="U60" s="8"/>
    </row>
    <row r="61" spans="1:21" s="9" customFormat="1" ht="15" customHeight="1" thickBot="1" x14ac:dyDescent="0.3">
      <c r="A61" s="369"/>
      <c r="B61" s="370"/>
      <c r="C61" s="370"/>
      <c r="D61" s="371" t="s">
        <v>71</v>
      </c>
      <c r="E61" s="371"/>
      <c r="F61" s="371"/>
      <c r="G61" s="371"/>
      <c r="H61" s="371"/>
      <c r="I61" s="371"/>
      <c r="J61" s="371"/>
      <c r="K61" s="371"/>
      <c r="L61" s="371"/>
      <c r="M61" s="57"/>
      <c r="N61" s="12">
        <f>SUMIF($M$52:$M$57,D61,$N$52:$N$57)</f>
        <v>0</v>
      </c>
      <c r="O61" s="12">
        <f>SUMIF($M$52:$M$57,D61,$O$52:$O$57)</f>
        <v>0</v>
      </c>
      <c r="P61" s="12"/>
      <c r="Q61" s="12">
        <f>SUMIF($M$52:$M$57,D61,$Q$52:$Q$57)</f>
        <v>0</v>
      </c>
      <c r="R61" s="12">
        <f>SUMIF($M$52:$M$57,D61,$R$52:$R$57)</f>
        <v>0</v>
      </c>
      <c r="S61" s="12">
        <f>SUMIF($M$52:$M$57,D61,$S$52:$S$57)</f>
        <v>0</v>
      </c>
      <c r="T61" s="150"/>
      <c r="U61" s="8"/>
    </row>
    <row r="62" spans="1:21" s="2" customFormat="1" ht="91.5" customHeight="1" outlineLevel="1" x14ac:dyDescent="0.25">
      <c r="A62" s="104">
        <v>34</v>
      </c>
      <c r="B62" s="132" t="s">
        <v>132</v>
      </c>
      <c r="C62" s="132" t="s">
        <v>133</v>
      </c>
      <c r="D62" s="132" t="s">
        <v>101</v>
      </c>
      <c r="E62" s="132"/>
      <c r="F62" s="132"/>
      <c r="G62" s="132"/>
      <c r="H62" s="132"/>
      <c r="I62" s="132"/>
      <c r="J62" s="132"/>
      <c r="K62" s="58" t="s">
        <v>328</v>
      </c>
      <c r="L62" s="132" t="s">
        <v>134</v>
      </c>
      <c r="M62" s="132" t="s">
        <v>2</v>
      </c>
      <c r="N62" s="32">
        <v>74000000000</v>
      </c>
      <c r="O62" s="32">
        <v>74000000000</v>
      </c>
      <c r="P62" s="35" t="s">
        <v>135</v>
      </c>
      <c r="Q62" s="32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R62" s="32">
        <f>27971909177.5+338144.2</f>
        <v>27972247321.700001</v>
      </c>
      <c r="S62" s="116">
        <f>O62-Q62</f>
        <v>8809523809.2999802</v>
      </c>
      <c r="T62" s="140" t="s">
        <v>76</v>
      </c>
      <c r="U62" s="1"/>
    </row>
    <row r="63" spans="1:21" s="2" customFormat="1" ht="91.5" customHeight="1" outlineLevel="1" x14ac:dyDescent="0.25">
      <c r="A63" s="104">
        <v>35</v>
      </c>
      <c r="B63" s="132" t="s">
        <v>132</v>
      </c>
      <c r="C63" s="132" t="s">
        <v>136</v>
      </c>
      <c r="D63" s="132" t="s">
        <v>280</v>
      </c>
      <c r="E63" s="132"/>
      <c r="F63" s="132"/>
      <c r="G63" s="132"/>
      <c r="H63" s="132"/>
      <c r="I63" s="132"/>
      <c r="J63" s="132"/>
      <c r="K63" s="58" t="s">
        <v>329</v>
      </c>
      <c r="L63" s="132" t="s">
        <v>137</v>
      </c>
      <c r="M63" s="132" t="s">
        <v>2</v>
      </c>
      <c r="N63" s="32">
        <v>2035890300</v>
      </c>
      <c r="O63" s="32">
        <v>2035890300</v>
      </c>
      <c r="P63" s="35" t="s">
        <v>44</v>
      </c>
      <c r="Q63" s="32">
        <v>0</v>
      </c>
      <c r="R63" s="32">
        <v>0</v>
      </c>
      <c r="S63" s="116">
        <f t="shared" ref="S63:S68" si="4">O63-Q63</f>
        <v>2035890300</v>
      </c>
      <c r="T63" s="140" t="s">
        <v>76</v>
      </c>
      <c r="U63" s="1"/>
    </row>
    <row r="64" spans="1:21" ht="121.5" outlineLevel="1" x14ac:dyDescent="0.25">
      <c r="A64" s="103">
        <v>36</v>
      </c>
      <c r="B64" s="131" t="s">
        <v>138</v>
      </c>
      <c r="C64" s="132" t="s">
        <v>139</v>
      </c>
      <c r="D64" s="107" t="s">
        <v>27</v>
      </c>
      <c r="E64" s="135" t="s">
        <v>29</v>
      </c>
      <c r="F64" s="116">
        <v>3500000</v>
      </c>
      <c r="G64" s="116">
        <v>3500000</v>
      </c>
      <c r="H64" s="35">
        <v>7.4999999999999997E-3</v>
      </c>
      <c r="I64" s="34">
        <v>0</v>
      </c>
      <c r="J64" s="116">
        <f>G64-I64</f>
        <v>3500000</v>
      </c>
      <c r="K64" s="109" t="s">
        <v>330</v>
      </c>
      <c r="L64" s="107" t="s">
        <v>140</v>
      </c>
      <c r="M64" s="135" t="s">
        <v>29</v>
      </c>
      <c r="N64" s="32">
        <v>3500000</v>
      </c>
      <c r="O64" s="32">
        <v>3500000</v>
      </c>
      <c r="P64" s="35">
        <v>7.4999999999999997E-3</v>
      </c>
      <c r="Q64" s="32">
        <f>696000+31440060/542.07+58000+24255020/418.19+24400600/420.7+25920780/446.91</f>
        <v>986000</v>
      </c>
      <c r="R64" s="32">
        <f>399592.922231146+10515+10297.5+4215355.2/418.19+4149153.8/420.7+4310447/446.91</f>
        <v>449992.92246187496</v>
      </c>
      <c r="S64" s="116">
        <f t="shared" si="4"/>
        <v>2514000</v>
      </c>
      <c r="T64" s="140" t="s">
        <v>76</v>
      </c>
    </row>
    <row r="65" spans="1:21" ht="69" customHeight="1" outlineLevel="1" x14ac:dyDescent="0.25">
      <c r="A65" s="104">
        <v>37</v>
      </c>
      <c r="B65" s="131" t="s">
        <v>141</v>
      </c>
      <c r="C65" s="132" t="s">
        <v>142</v>
      </c>
      <c r="D65" s="132" t="s">
        <v>143</v>
      </c>
      <c r="E65" s="117" t="s">
        <v>431</v>
      </c>
      <c r="F65" s="46">
        <v>1173750</v>
      </c>
      <c r="G65" s="46">
        <v>1109413</v>
      </c>
      <c r="H65" s="133"/>
      <c r="I65" s="46"/>
      <c r="J65" s="46"/>
      <c r="K65" s="117" t="s">
        <v>331</v>
      </c>
      <c r="L65" s="107" t="s">
        <v>144</v>
      </c>
      <c r="M65" s="135" t="s">
        <v>51</v>
      </c>
      <c r="N65" s="116">
        <v>1689937.9</v>
      </c>
      <c r="O65" s="32">
        <v>1689937.9</v>
      </c>
      <c r="P65" s="133">
        <v>5.9900000000000002E-2</v>
      </c>
      <c r="Q65" s="32">
        <f>872805.23+28165+28165</f>
        <v>929135.23</v>
      </c>
      <c r="R65" s="32">
        <f>1964862.47+25588.58+24871.58</f>
        <v>2015322.6300000001</v>
      </c>
      <c r="S65" s="116">
        <f t="shared" si="4"/>
        <v>760802.66999999993</v>
      </c>
      <c r="T65" s="142" t="s">
        <v>76</v>
      </c>
    </row>
    <row r="66" spans="1:21" ht="69.75" customHeight="1" outlineLevel="1" x14ac:dyDescent="0.25">
      <c r="A66" s="103">
        <v>38</v>
      </c>
      <c r="B66" s="131" t="s">
        <v>145</v>
      </c>
      <c r="C66" s="132" t="s">
        <v>146</v>
      </c>
      <c r="D66" s="132" t="s">
        <v>143</v>
      </c>
      <c r="E66" s="135" t="s">
        <v>51</v>
      </c>
      <c r="F66" s="46">
        <v>2828000</v>
      </c>
      <c r="G66" s="46">
        <v>2828000</v>
      </c>
      <c r="H66" s="133"/>
      <c r="I66" s="46"/>
      <c r="J66" s="46"/>
      <c r="K66" s="117" t="s">
        <v>332</v>
      </c>
      <c r="L66" s="107" t="s">
        <v>147</v>
      </c>
      <c r="M66" s="135" t="s">
        <v>51</v>
      </c>
      <c r="N66" s="116">
        <v>2828000</v>
      </c>
      <c r="O66" s="32">
        <v>2828000</v>
      </c>
      <c r="P66" s="133">
        <v>5.9900000000000002E-2</v>
      </c>
      <c r="Q66" s="116">
        <f>1128831.5+47000</f>
        <v>1175831.5</v>
      </c>
      <c r="R66" s="32">
        <f>1731608.85+50775.51</f>
        <v>1782384.36</v>
      </c>
      <c r="S66" s="116">
        <f t="shared" si="4"/>
        <v>1652168.5</v>
      </c>
      <c r="T66" s="142" t="s">
        <v>76</v>
      </c>
    </row>
    <row r="67" spans="1:21" s="4" customFormat="1" ht="177" customHeight="1" outlineLevel="1" x14ac:dyDescent="0.2">
      <c r="A67" s="104">
        <v>39</v>
      </c>
      <c r="B67" s="131" t="s">
        <v>148</v>
      </c>
      <c r="C67" s="132" t="s">
        <v>149</v>
      </c>
      <c r="D67" s="132" t="s">
        <v>143</v>
      </c>
      <c r="E67" s="117" t="s">
        <v>431</v>
      </c>
      <c r="F67" s="46">
        <v>7900000</v>
      </c>
      <c r="G67" s="59"/>
      <c r="H67" s="59"/>
      <c r="I67" s="59"/>
      <c r="J67" s="59"/>
      <c r="K67" s="107" t="s">
        <v>333</v>
      </c>
      <c r="L67" s="107" t="s">
        <v>150</v>
      </c>
      <c r="M67" s="132" t="s">
        <v>2</v>
      </c>
      <c r="N67" s="60">
        <v>2092000000</v>
      </c>
      <c r="O67" s="32">
        <v>2092000000</v>
      </c>
      <c r="P67" s="61">
        <v>0.02</v>
      </c>
      <c r="Q67" s="32">
        <f>354576270+35457627.1+35457627+35457627</f>
        <v>460949151.10000002</v>
      </c>
      <c r="R67" s="32">
        <f>426427783.87+17517039.3+16879773.4+16802058.1</f>
        <v>477626654.67000002</v>
      </c>
      <c r="S67" s="116">
        <f t="shared" si="4"/>
        <v>1631050848.9000001</v>
      </c>
      <c r="T67" s="142" t="s">
        <v>76</v>
      </c>
      <c r="U67" s="3"/>
    </row>
    <row r="68" spans="1:21" s="4" customFormat="1" ht="169.5" customHeight="1" outlineLevel="1" thickBot="1" x14ac:dyDescent="0.25">
      <c r="A68" s="103">
        <v>40</v>
      </c>
      <c r="B68" s="131" t="s">
        <v>148</v>
      </c>
      <c r="C68" s="132" t="s">
        <v>151</v>
      </c>
      <c r="D68" s="132" t="s">
        <v>143</v>
      </c>
      <c r="E68" s="117"/>
      <c r="F68" s="46"/>
      <c r="G68" s="59"/>
      <c r="H68" s="59"/>
      <c r="I68" s="59"/>
      <c r="J68" s="59"/>
      <c r="K68" s="107" t="s">
        <v>334</v>
      </c>
      <c r="L68" s="107" t="s">
        <v>152</v>
      </c>
      <c r="M68" s="107" t="s">
        <v>2</v>
      </c>
      <c r="N68" s="60">
        <v>2187306400</v>
      </c>
      <c r="O68" s="60">
        <v>2187306400</v>
      </c>
      <c r="P68" s="61">
        <v>0.03</v>
      </c>
      <c r="Q68" s="32">
        <v>0</v>
      </c>
      <c r="R68" s="32">
        <f>224789707.9+33079263.9+32539928.1+33079263.9</f>
        <v>323488163.80000001</v>
      </c>
      <c r="S68" s="116">
        <f t="shared" si="4"/>
        <v>2187306400</v>
      </c>
      <c r="T68" s="142" t="s">
        <v>76</v>
      </c>
      <c r="U68" s="3"/>
    </row>
    <row r="69" spans="1:21" s="9" customFormat="1" ht="15" customHeight="1" x14ac:dyDescent="0.25">
      <c r="A69" s="359" t="s">
        <v>153</v>
      </c>
      <c r="B69" s="360"/>
      <c r="C69" s="360"/>
      <c r="D69" s="363" t="s">
        <v>29</v>
      </c>
      <c r="E69" s="363"/>
      <c r="F69" s="363"/>
      <c r="G69" s="363"/>
      <c r="H69" s="363"/>
      <c r="I69" s="363"/>
      <c r="J69" s="363"/>
      <c r="K69" s="363"/>
      <c r="L69" s="363"/>
      <c r="M69" s="53"/>
      <c r="N69" s="13">
        <f>SUMIF($M$62:$M$68,D69,$N$62:$N$68)</f>
        <v>3500000</v>
      </c>
      <c r="O69" s="13">
        <f>SUMIF($M$62:$M$68,D69,$O$62:$O$68)</f>
        <v>3500000</v>
      </c>
      <c r="P69" s="13"/>
      <c r="Q69" s="13">
        <f>SUMIF($M$62:$M$68,D69,$Q$62:$Q$68)</f>
        <v>986000</v>
      </c>
      <c r="R69" s="13">
        <f>SUMIF($M$62:$M$68,D69,$R$62:$R$68)</f>
        <v>449992.92246187496</v>
      </c>
      <c r="S69" s="13">
        <f>SUMIF($M$62:$M$68,D69,$S$62:$S$68)</f>
        <v>2514000</v>
      </c>
      <c r="T69" s="147"/>
      <c r="U69" s="8"/>
    </row>
    <row r="70" spans="1:21" s="9" customFormat="1" ht="15" customHeight="1" x14ac:dyDescent="0.25">
      <c r="A70" s="361"/>
      <c r="B70" s="362"/>
      <c r="C70" s="362"/>
      <c r="D70" s="364" t="s">
        <v>2</v>
      </c>
      <c r="E70" s="364"/>
      <c r="F70" s="364"/>
      <c r="G70" s="364"/>
      <c r="H70" s="364"/>
      <c r="I70" s="364"/>
      <c r="J70" s="364"/>
      <c r="K70" s="364"/>
      <c r="L70" s="364"/>
      <c r="M70" s="54"/>
      <c r="N70" s="11">
        <f>SUMIF($M$62:$M$68,D70,$N$62:$N$68)</f>
        <v>80315196700</v>
      </c>
      <c r="O70" s="11">
        <f>SUMIF($M$62:$M$68,D70,$O$62:$O$68)</f>
        <v>80315196700</v>
      </c>
      <c r="P70" s="11"/>
      <c r="Q70" s="11">
        <f>SUMIF($M$62:$M$68,D70,$Q$62:$Q$68)</f>
        <v>65651425341.800018</v>
      </c>
      <c r="R70" s="11">
        <f>SUMIF($M$62:$M$68,D70,$R$62:$R$68)</f>
        <v>28773362140.169998</v>
      </c>
      <c r="S70" s="11">
        <f>SUMIF($M$62:$M$68,D70,$S$62:$S$68)</f>
        <v>14663771358.19998</v>
      </c>
      <c r="T70" s="148"/>
      <c r="U70" s="8"/>
    </row>
    <row r="71" spans="1:21" s="9" customFormat="1" ht="15" customHeight="1" x14ac:dyDescent="0.25">
      <c r="A71" s="361"/>
      <c r="B71" s="362"/>
      <c r="C71" s="362"/>
      <c r="D71" s="364" t="s">
        <v>51</v>
      </c>
      <c r="E71" s="364"/>
      <c r="F71" s="364"/>
      <c r="G71" s="364"/>
      <c r="H71" s="364"/>
      <c r="I71" s="364"/>
      <c r="J71" s="364"/>
      <c r="K71" s="364"/>
      <c r="L71" s="364"/>
      <c r="M71" s="54"/>
      <c r="N71" s="11">
        <f>SUMIF($M$62:$M$68,D71,$N$62:$N$68)</f>
        <v>4517937.9000000004</v>
      </c>
      <c r="O71" s="11">
        <f>SUMIF($M$62:$M$68,D71,$O$62:$O$68)</f>
        <v>4517937.9000000004</v>
      </c>
      <c r="P71" s="11"/>
      <c r="Q71" s="11">
        <f>SUMIF($M$62:$M$68,D71,$Q$62:$Q$68)</f>
        <v>2104966.73</v>
      </c>
      <c r="R71" s="11">
        <f>SUMIF($M$62:$M$68,D71,$R$62:$R$68)</f>
        <v>3797706.99</v>
      </c>
      <c r="S71" s="11">
        <f>SUMIF($M$62:$M$68,D71,$S$62:$S$68)</f>
        <v>2412971.17</v>
      </c>
      <c r="T71" s="148"/>
      <c r="U71" s="8"/>
    </row>
    <row r="72" spans="1:21" s="9" customFormat="1" ht="15" thickBot="1" x14ac:dyDescent="0.3">
      <c r="A72" s="369"/>
      <c r="B72" s="370"/>
      <c r="C72" s="370"/>
      <c r="D72" s="371" t="s">
        <v>71</v>
      </c>
      <c r="E72" s="371"/>
      <c r="F72" s="371"/>
      <c r="G72" s="371"/>
      <c r="H72" s="371"/>
      <c r="I72" s="371"/>
      <c r="J72" s="371"/>
      <c r="K72" s="371"/>
      <c r="L72" s="371"/>
      <c r="M72" s="57"/>
      <c r="N72" s="12">
        <f>SUMIF($M$62:$M$68,D72,$N$62:$N$68)</f>
        <v>0</v>
      </c>
      <c r="O72" s="12">
        <f>SUMIF($M$62:$M$68,D72,$O$62:$O$68)</f>
        <v>0</v>
      </c>
      <c r="P72" s="12"/>
      <c r="Q72" s="12">
        <f>SUMIF($M$62:$M$68,D72,$Q$62:$Q$68)</f>
        <v>0</v>
      </c>
      <c r="R72" s="12">
        <f>SUMIF($M$62:$M$68,D72,$R$62:$R$68)</f>
        <v>0</v>
      </c>
      <c r="S72" s="12">
        <f>SUMIF($M$62:$M$68,D72,$S$62:$S$68)</f>
        <v>0</v>
      </c>
      <c r="T72" s="150"/>
      <c r="U72" s="8"/>
    </row>
    <row r="73" spans="1:21" s="2" customFormat="1" ht="77.25" customHeight="1" outlineLevel="1" x14ac:dyDescent="0.25">
      <c r="A73" s="104">
        <v>41</v>
      </c>
      <c r="B73" s="131" t="s">
        <v>154</v>
      </c>
      <c r="C73" s="132" t="s">
        <v>155</v>
      </c>
      <c r="D73" s="132" t="s">
        <v>93</v>
      </c>
      <c r="E73" s="132"/>
      <c r="F73" s="132"/>
      <c r="G73" s="132"/>
      <c r="H73" s="132"/>
      <c r="I73" s="132"/>
      <c r="J73" s="132"/>
      <c r="K73" s="132" t="s">
        <v>335</v>
      </c>
      <c r="L73" s="132" t="s">
        <v>156</v>
      </c>
      <c r="M73" s="135" t="s">
        <v>51</v>
      </c>
      <c r="N73" s="32">
        <v>361332</v>
      </c>
      <c r="O73" s="32">
        <v>361332</v>
      </c>
      <c r="P73" s="35">
        <v>7.7700000000000005E-2</v>
      </c>
      <c r="Q73" s="32">
        <v>219031</v>
      </c>
      <c r="R73" s="32">
        <f>187530</f>
        <v>187530</v>
      </c>
      <c r="S73" s="116">
        <f>O73-Q73</f>
        <v>142301</v>
      </c>
      <c r="T73" s="140" t="s">
        <v>157</v>
      </c>
      <c r="U73" s="1"/>
    </row>
    <row r="74" spans="1:21" ht="64.5" customHeight="1" outlineLevel="1" x14ac:dyDescent="0.25">
      <c r="A74" s="104">
        <v>42</v>
      </c>
      <c r="B74" s="131" t="s">
        <v>158</v>
      </c>
      <c r="C74" s="132" t="s">
        <v>159</v>
      </c>
      <c r="D74" s="113" t="s">
        <v>118</v>
      </c>
      <c r="E74" s="117"/>
      <c r="F74" s="117"/>
      <c r="G74" s="117"/>
      <c r="H74" s="117"/>
      <c r="I74" s="117"/>
      <c r="J74" s="117"/>
      <c r="K74" s="109" t="s">
        <v>336</v>
      </c>
      <c r="L74" s="32" t="s">
        <v>160</v>
      </c>
      <c r="M74" s="135" t="s">
        <v>29</v>
      </c>
      <c r="N74" s="32">
        <v>8000000</v>
      </c>
      <c r="O74" s="32">
        <v>80000</v>
      </c>
      <c r="P74" s="35" t="s">
        <v>44</v>
      </c>
      <c r="Q74" s="32">
        <f>10909.09+3636.36+3636.36+1428217/392.76+1554016/427.35+3636.4</f>
        <v>29090.971703756208</v>
      </c>
      <c r="R74" s="32">
        <f>105386.95+361.72+42360.02+4761284/392.76+5116448/427.35+12019.8</f>
        <v>184223.61988818215</v>
      </c>
      <c r="S74" s="116">
        <f>O74-Q74</f>
        <v>50909.028296243792</v>
      </c>
      <c r="T74" s="140" t="s">
        <v>161</v>
      </c>
    </row>
    <row r="75" spans="1:21" ht="53.25" customHeight="1" outlineLevel="1" x14ac:dyDescent="0.25">
      <c r="A75" s="104">
        <v>43</v>
      </c>
      <c r="B75" s="131" t="s">
        <v>158</v>
      </c>
      <c r="C75" s="132" t="s">
        <v>162</v>
      </c>
      <c r="D75" s="113" t="s">
        <v>126</v>
      </c>
      <c r="E75" s="117"/>
      <c r="F75" s="117"/>
      <c r="G75" s="117"/>
      <c r="H75" s="117"/>
      <c r="I75" s="117"/>
      <c r="J75" s="117"/>
      <c r="K75" s="109" t="s">
        <v>337</v>
      </c>
      <c r="L75" s="32" t="s">
        <v>160</v>
      </c>
      <c r="M75" s="135" t="s">
        <v>29</v>
      </c>
      <c r="N75" s="32">
        <v>8000000</v>
      </c>
      <c r="O75" s="32"/>
      <c r="P75" s="35" t="s">
        <v>44</v>
      </c>
      <c r="Q75" s="32"/>
      <c r="R75" s="32"/>
      <c r="S75" s="116">
        <f>O75-Q75</f>
        <v>0</v>
      </c>
      <c r="T75" s="140" t="s">
        <v>161</v>
      </c>
    </row>
    <row r="76" spans="1:21" ht="53.25" customHeight="1" outlineLevel="1" x14ac:dyDescent="0.25">
      <c r="A76" s="321">
        <v>44</v>
      </c>
      <c r="B76" s="330" t="s">
        <v>163</v>
      </c>
      <c r="C76" s="322" t="s">
        <v>264</v>
      </c>
      <c r="D76" s="113"/>
      <c r="E76" s="117"/>
      <c r="F76" s="117"/>
      <c r="G76" s="117"/>
      <c r="H76" s="117"/>
      <c r="I76" s="117"/>
      <c r="J76" s="117"/>
      <c r="K76" s="109" t="s">
        <v>338</v>
      </c>
      <c r="L76" s="322" t="s">
        <v>281</v>
      </c>
      <c r="M76" s="135" t="s">
        <v>29</v>
      </c>
      <c r="N76" s="32">
        <v>5500000</v>
      </c>
      <c r="O76" s="32">
        <f>1384955.78+492272.39+301757.1+219245.55+25340.75</f>
        <v>2423571.5699999998</v>
      </c>
      <c r="P76" s="35" t="s">
        <v>44</v>
      </c>
      <c r="Q76" s="32"/>
      <c r="R76" s="32"/>
      <c r="S76" s="116">
        <f t="shared" ref="S76:S82" si="5">O76-Q76</f>
        <v>2423571.5699999998</v>
      </c>
      <c r="T76" s="140" t="s">
        <v>76</v>
      </c>
    </row>
    <row r="77" spans="1:21" outlineLevel="1" x14ac:dyDescent="0.25">
      <c r="A77" s="311"/>
      <c r="B77" s="331"/>
      <c r="C77" s="314"/>
      <c r="D77" s="113"/>
      <c r="E77" s="117"/>
      <c r="F77" s="117"/>
      <c r="G77" s="117"/>
      <c r="H77" s="117"/>
      <c r="I77" s="117"/>
      <c r="J77" s="117"/>
      <c r="K77" s="109"/>
      <c r="L77" s="314"/>
      <c r="M77" s="107" t="s">
        <v>2</v>
      </c>
      <c r="N77" s="32">
        <v>92733053.200000003</v>
      </c>
      <c r="O77" s="32">
        <f>92733053.2+20276600+1679251+16492341.9+20399976.4+42969092+26833268.5</f>
        <v>221383583</v>
      </c>
      <c r="P77" s="35"/>
      <c r="Q77" s="32"/>
      <c r="R77" s="32"/>
      <c r="S77" s="116">
        <f t="shared" si="5"/>
        <v>221383583</v>
      </c>
      <c r="T77" s="140"/>
    </row>
    <row r="78" spans="1:21" ht="54" outlineLevel="1" x14ac:dyDescent="0.25">
      <c r="A78" s="104">
        <v>45</v>
      </c>
      <c r="B78" s="131" t="s">
        <v>164</v>
      </c>
      <c r="C78" s="132" t="s">
        <v>165</v>
      </c>
      <c r="D78" s="132" t="s">
        <v>113</v>
      </c>
      <c r="E78" s="117"/>
      <c r="F78" s="117"/>
      <c r="G78" s="117"/>
      <c r="H78" s="117"/>
      <c r="I78" s="117"/>
      <c r="J78" s="117"/>
      <c r="K78" s="109" t="s">
        <v>339</v>
      </c>
      <c r="L78" s="32" t="s">
        <v>166</v>
      </c>
      <c r="M78" s="107" t="s">
        <v>2</v>
      </c>
      <c r="N78" s="32">
        <v>249300000</v>
      </c>
      <c r="O78" s="32">
        <v>249300000</v>
      </c>
      <c r="P78" s="38">
        <v>1E-3</v>
      </c>
      <c r="Q78" s="32">
        <f>42881892.9</f>
        <v>42881892.899999999</v>
      </c>
      <c r="R78" s="32">
        <f>528153.5</f>
        <v>528153.5</v>
      </c>
      <c r="S78" s="116">
        <f t="shared" si="5"/>
        <v>206418107.09999999</v>
      </c>
      <c r="T78" s="140" t="s">
        <v>76</v>
      </c>
    </row>
    <row r="79" spans="1:21" ht="148.5" outlineLevel="1" x14ac:dyDescent="0.25">
      <c r="A79" s="104">
        <v>46</v>
      </c>
      <c r="B79" s="119" t="s">
        <v>107</v>
      </c>
      <c r="C79" s="111" t="s">
        <v>108</v>
      </c>
      <c r="D79" s="113" t="s">
        <v>101</v>
      </c>
      <c r="E79" s="117"/>
      <c r="F79" s="117"/>
      <c r="G79" s="117"/>
      <c r="H79" s="117"/>
      <c r="I79" s="117"/>
      <c r="J79" s="117"/>
      <c r="K79" s="112" t="s">
        <v>340</v>
      </c>
      <c r="L79" s="137" t="s">
        <v>109</v>
      </c>
      <c r="M79" s="135" t="s">
        <v>51</v>
      </c>
      <c r="N79" s="32">
        <v>4000000</v>
      </c>
      <c r="O79" s="32">
        <v>817235.07</v>
      </c>
      <c r="P79" s="35" t="s">
        <v>44</v>
      </c>
      <c r="Q79" s="32">
        <f>465353.9+34986668/397.71</f>
        <v>553324.19996731286</v>
      </c>
      <c r="R79" s="32">
        <f>188098.2+7483550/397.71</f>
        <v>206914.80003520154</v>
      </c>
      <c r="S79" s="124">
        <f>O79-Q79</f>
        <v>263910.87003268709</v>
      </c>
      <c r="T79" s="111" t="s">
        <v>110</v>
      </c>
    </row>
    <row r="80" spans="1:21" s="4" customFormat="1" ht="40.5" outlineLevel="1" x14ac:dyDescent="0.2">
      <c r="A80" s="104">
        <v>47</v>
      </c>
      <c r="B80" s="131" t="s">
        <v>167</v>
      </c>
      <c r="C80" s="132" t="s">
        <v>133</v>
      </c>
      <c r="D80" s="107" t="s">
        <v>101</v>
      </c>
      <c r="E80" s="117" t="s">
        <v>2</v>
      </c>
      <c r="F80" s="117"/>
      <c r="G80" s="132"/>
      <c r="H80" s="132"/>
      <c r="I80" s="132"/>
      <c r="J80" s="132"/>
      <c r="K80" s="107" t="s">
        <v>341</v>
      </c>
      <c r="L80" s="107" t="s">
        <v>291</v>
      </c>
      <c r="M80" s="107" t="s">
        <v>2</v>
      </c>
      <c r="N80" s="60">
        <v>50600000</v>
      </c>
      <c r="O80" s="32">
        <v>50600000</v>
      </c>
      <c r="P80" s="131" t="s">
        <v>168</v>
      </c>
      <c r="Q80" s="32"/>
      <c r="R80" s="32"/>
      <c r="S80" s="60">
        <f t="shared" si="5"/>
        <v>50600000</v>
      </c>
      <c r="T80" s="140" t="s">
        <v>76</v>
      </c>
      <c r="U80" s="3"/>
    </row>
    <row r="81" spans="1:21" s="4" customFormat="1" ht="40.5" outlineLevel="1" x14ac:dyDescent="0.2">
      <c r="A81" s="104">
        <v>48</v>
      </c>
      <c r="B81" s="131" t="s">
        <v>167</v>
      </c>
      <c r="C81" s="132" t="s">
        <v>133</v>
      </c>
      <c r="D81" s="107" t="s">
        <v>101</v>
      </c>
      <c r="E81" s="117" t="s">
        <v>2</v>
      </c>
      <c r="F81" s="117"/>
      <c r="G81" s="117"/>
      <c r="H81" s="117"/>
      <c r="I81" s="117"/>
      <c r="J81" s="117"/>
      <c r="K81" s="107" t="s">
        <v>342</v>
      </c>
      <c r="L81" s="107" t="s">
        <v>292</v>
      </c>
      <c r="M81" s="132" t="s">
        <v>2</v>
      </c>
      <c r="N81" s="60">
        <v>1100000000</v>
      </c>
      <c r="O81" s="32">
        <v>1100000000</v>
      </c>
      <c r="P81" s="131" t="s">
        <v>168</v>
      </c>
      <c r="Q81" s="32"/>
      <c r="R81" s="32"/>
      <c r="S81" s="60">
        <f t="shared" si="5"/>
        <v>1100000000</v>
      </c>
      <c r="T81" s="330" t="s">
        <v>267</v>
      </c>
      <c r="U81" s="3"/>
    </row>
    <row r="82" spans="1:21" s="4" customFormat="1" ht="40.5" outlineLevel="1" x14ac:dyDescent="0.2">
      <c r="A82" s="104">
        <v>49</v>
      </c>
      <c r="B82" s="131" t="s">
        <v>167</v>
      </c>
      <c r="C82" s="132" t="s">
        <v>133</v>
      </c>
      <c r="D82" s="107" t="s">
        <v>101</v>
      </c>
      <c r="E82" s="117" t="s">
        <v>2</v>
      </c>
      <c r="F82" s="117"/>
      <c r="G82" s="117"/>
      <c r="H82" s="117"/>
      <c r="I82" s="117"/>
      <c r="J82" s="117"/>
      <c r="K82" s="107" t="s">
        <v>343</v>
      </c>
      <c r="L82" s="107" t="s">
        <v>293</v>
      </c>
      <c r="M82" s="132" t="s">
        <v>2</v>
      </c>
      <c r="N82" s="60">
        <v>792386600</v>
      </c>
      <c r="O82" s="32">
        <v>791031693</v>
      </c>
      <c r="P82" s="131" t="s">
        <v>168</v>
      </c>
      <c r="Q82" s="32"/>
      <c r="R82" s="32"/>
      <c r="S82" s="60">
        <f t="shared" si="5"/>
        <v>791031693</v>
      </c>
      <c r="T82" s="352"/>
      <c r="U82" s="3"/>
    </row>
    <row r="83" spans="1:21" s="4" customFormat="1" ht="40.5" outlineLevel="1" x14ac:dyDescent="0.2">
      <c r="A83" s="104">
        <v>50</v>
      </c>
      <c r="B83" s="131" t="s">
        <v>167</v>
      </c>
      <c r="C83" s="132" t="s">
        <v>133</v>
      </c>
      <c r="D83" s="107" t="s">
        <v>101</v>
      </c>
      <c r="E83" s="117" t="s">
        <v>2</v>
      </c>
      <c r="F83" s="117"/>
      <c r="G83" s="117"/>
      <c r="H83" s="117"/>
      <c r="I83" s="117"/>
      <c r="J83" s="117"/>
      <c r="K83" s="107" t="s">
        <v>344</v>
      </c>
      <c r="L83" s="107" t="s">
        <v>294</v>
      </c>
      <c r="M83" s="132" t="s">
        <v>2</v>
      </c>
      <c r="N83" s="60">
        <v>254672300</v>
      </c>
      <c r="O83" s="32">
        <f>168444408+75498000+5196300+5196300</f>
        <v>254335008</v>
      </c>
      <c r="P83" s="131" t="s">
        <v>168</v>
      </c>
      <c r="Q83" s="32"/>
      <c r="R83" s="32"/>
      <c r="S83" s="60">
        <f>O83-Q83</f>
        <v>254335008</v>
      </c>
      <c r="T83" s="331"/>
      <c r="U83" s="3"/>
    </row>
    <row r="84" spans="1:21" s="4" customFormat="1" ht="40.5" outlineLevel="1" x14ac:dyDescent="0.2">
      <c r="A84" s="104">
        <v>51</v>
      </c>
      <c r="B84" s="131" t="s">
        <v>169</v>
      </c>
      <c r="C84" s="132" t="s">
        <v>133</v>
      </c>
      <c r="D84" s="107" t="s">
        <v>113</v>
      </c>
      <c r="E84" s="117" t="s">
        <v>2</v>
      </c>
      <c r="F84" s="117"/>
      <c r="G84" s="117"/>
      <c r="H84" s="117"/>
      <c r="I84" s="117"/>
      <c r="J84" s="117"/>
      <c r="K84" s="107" t="s">
        <v>345</v>
      </c>
      <c r="L84" s="107" t="s">
        <v>170</v>
      </c>
      <c r="M84" s="132" t="s">
        <v>2</v>
      </c>
      <c r="N84" s="60">
        <v>88731015</v>
      </c>
      <c r="O84" s="32">
        <v>88731000</v>
      </c>
      <c r="P84" s="62">
        <v>8.5000000000000006E-2</v>
      </c>
      <c r="Q84" s="32"/>
      <c r="R84" s="32">
        <v>1591081</v>
      </c>
      <c r="S84" s="60">
        <f t="shared" ref="S84:S98" si="6">O84-Q84</f>
        <v>88731000</v>
      </c>
      <c r="T84" s="142" t="s">
        <v>171</v>
      </c>
      <c r="U84" s="3"/>
    </row>
    <row r="85" spans="1:21" s="4" customFormat="1" ht="40.5" outlineLevel="1" x14ac:dyDescent="0.2">
      <c r="A85" s="104">
        <v>52</v>
      </c>
      <c r="B85" s="131" t="s">
        <v>172</v>
      </c>
      <c r="C85" s="132" t="s">
        <v>173</v>
      </c>
      <c r="D85" s="107" t="s">
        <v>113</v>
      </c>
      <c r="E85" s="117" t="s">
        <v>2</v>
      </c>
      <c r="F85" s="117"/>
      <c r="G85" s="117"/>
      <c r="H85" s="117"/>
      <c r="I85" s="117"/>
      <c r="J85" s="117"/>
      <c r="K85" s="107" t="s">
        <v>346</v>
      </c>
      <c r="L85" s="107" t="s">
        <v>174</v>
      </c>
      <c r="M85" s="132" t="s">
        <v>2</v>
      </c>
      <c r="N85" s="60">
        <v>3840000000</v>
      </c>
      <c r="O85" s="32">
        <v>3840000000</v>
      </c>
      <c r="P85" s="63">
        <v>1.0000000000000001E-5</v>
      </c>
      <c r="Q85" s="32">
        <v>3484641868</v>
      </c>
      <c r="R85" s="32">
        <v>37169</v>
      </c>
      <c r="S85" s="60">
        <f t="shared" si="6"/>
        <v>355358132</v>
      </c>
      <c r="T85" s="142" t="s">
        <v>76</v>
      </c>
      <c r="U85" s="3"/>
    </row>
    <row r="86" spans="1:21" ht="94.5" outlineLevel="1" x14ac:dyDescent="0.25">
      <c r="A86" s="104">
        <v>53</v>
      </c>
      <c r="B86" s="119" t="s">
        <v>175</v>
      </c>
      <c r="C86" s="111" t="s">
        <v>173</v>
      </c>
      <c r="D86" s="111" t="s">
        <v>143</v>
      </c>
      <c r="E86" s="111"/>
      <c r="F86" s="111"/>
      <c r="G86" s="111"/>
      <c r="H86" s="111"/>
      <c r="I86" s="111"/>
      <c r="J86" s="111"/>
      <c r="K86" s="132" t="s">
        <v>347</v>
      </c>
      <c r="L86" s="132" t="s">
        <v>176</v>
      </c>
      <c r="M86" s="132" t="s">
        <v>51</v>
      </c>
      <c r="N86" s="64">
        <v>8944984.0899999999</v>
      </c>
      <c r="O86" s="32">
        <v>8944984.0899999999</v>
      </c>
      <c r="P86" s="65">
        <v>7.4999999999999997E-3</v>
      </c>
      <c r="Q86" s="32">
        <f>2425758.4+151609.9+151609.9</f>
        <v>2728978.1999999997</v>
      </c>
      <c r="R86" s="32">
        <f>881276.03+25084.35+24380.12+23943.98</f>
        <v>954684.48</v>
      </c>
      <c r="S86" s="116">
        <f t="shared" si="6"/>
        <v>6216005.8900000006</v>
      </c>
      <c r="T86" s="141" t="s">
        <v>76</v>
      </c>
    </row>
    <row r="87" spans="1:21" ht="55.5" customHeight="1" outlineLevel="1" x14ac:dyDescent="0.25">
      <c r="A87" s="373">
        <v>54</v>
      </c>
      <c r="B87" s="330" t="s">
        <v>177</v>
      </c>
      <c r="C87" s="322" t="s">
        <v>173</v>
      </c>
      <c r="D87" s="322" t="s">
        <v>143</v>
      </c>
      <c r="E87" s="111"/>
      <c r="F87" s="111"/>
      <c r="G87" s="111"/>
      <c r="H87" s="111"/>
      <c r="I87" s="111"/>
      <c r="J87" s="111"/>
      <c r="K87" s="322" t="s">
        <v>348</v>
      </c>
      <c r="L87" s="132" t="s">
        <v>178</v>
      </c>
      <c r="M87" s="132" t="s">
        <v>2</v>
      </c>
      <c r="N87" s="64">
        <v>93025000</v>
      </c>
      <c r="O87" s="32">
        <v>93025000</v>
      </c>
      <c r="P87" s="65">
        <v>7.4999999999999997E-3</v>
      </c>
      <c r="Q87" s="32">
        <f>13953750+930250+930250</f>
        <v>15814250</v>
      </c>
      <c r="R87" s="32">
        <f>9237334.28+296030</f>
        <v>9533364.2799999993</v>
      </c>
      <c r="S87" s="116">
        <f t="shared" si="6"/>
        <v>77210750</v>
      </c>
      <c r="T87" s="319" t="s">
        <v>76</v>
      </c>
    </row>
    <row r="88" spans="1:21" ht="55.5" customHeight="1" outlineLevel="1" x14ac:dyDescent="0.25">
      <c r="A88" s="374"/>
      <c r="B88" s="331"/>
      <c r="C88" s="314"/>
      <c r="D88" s="314"/>
      <c r="E88" s="111"/>
      <c r="F88" s="111"/>
      <c r="G88" s="111"/>
      <c r="H88" s="111"/>
      <c r="I88" s="111"/>
      <c r="J88" s="111"/>
      <c r="K88" s="314"/>
      <c r="L88" s="132" t="s">
        <v>178</v>
      </c>
      <c r="M88" s="132" t="s">
        <v>51</v>
      </c>
      <c r="N88" s="64">
        <v>5217725</v>
      </c>
      <c r="O88" s="32">
        <v>5217725</v>
      </c>
      <c r="P88" s="65">
        <v>7.4999999999999997E-3</v>
      </c>
      <c r="Q88" s="32">
        <f>782658.5+52177.25+52177.25</f>
        <v>887013</v>
      </c>
      <c r="R88" s="32">
        <f>538816.19+16480.36</f>
        <v>555296.54999999993</v>
      </c>
      <c r="S88" s="116">
        <f t="shared" si="6"/>
        <v>4330712</v>
      </c>
      <c r="T88" s="320"/>
    </row>
    <row r="89" spans="1:21" ht="94.5" outlineLevel="1" x14ac:dyDescent="0.25">
      <c r="A89" s="143">
        <v>55</v>
      </c>
      <c r="B89" s="119" t="s">
        <v>179</v>
      </c>
      <c r="C89" s="111" t="s">
        <v>173</v>
      </c>
      <c r="D89" s="111" t="s">
        <v>143</v>
      </c>
      <c r="E89" s="111"/>
      <c r="F89" s="111"/>
      <c r="G89" s="111"/>
      <c r="H89" s="111"/>
      <c r="I89" s="111"/>
      <c r="J89" s="111"/>
      <c r="K89" s="132" t="s">
        <v>349</v>
      </c>
      <c r="L89" s="132" t="s">
        <v>180</v>
      </c>
      <c r="M89" s="132" t="s">
        <v>51</v>
      </c>
      <c r="N89" s="64">
        <v>1989000</v>
      </c>
      <c r="O89" s="32">
        <v>1989000</v>
      </c>
      <c r="P89" s="65">
        <v>7.4999999999999997E-3</v>
      </c>
      <c r="Q89" s="32">
        <f>337118.7+33711.86+33711.86</f>
        <v>404542.42</v>
      </c>
      <c r="R89" s="32">
        <f>177150.18+6084.76</f>
        <v>183234.94</v>
      </c>
      <c r="S89" s="116">
        <f t="shared" si="6"/>
        <v>1584457.58</v>
      </c>
      <c r="T89" s="141" t="s">
        <v>76</v>
      </c>
    </row>
    <row r="90" spans="1:21" ht="108" outlineLevel="1" x14ac:dyDescent="0.25">
      <c r="A90" s="143">
        <v>56</v>
      </c>
      <c r="B90" s="119" t="s">
        <v>295</v>
      </c>
      <c r="C90" s="111" t="s">
        <v>296</v>
      </c>
      <c r="D90" s="111" t="s">
        <v>143</v>
      </c>
      <c r="E90" s="111" t="s">
        <v>431</v>
      </c>
      <c r="F90" s="111">
        <v>2190000</v>
      </c>
      <c r="G90" s="111"/>
      <c r="H90" s="111"/>
      <c r="I90" s="111"/>
      <c r="J90" s="111"/>
      <c r="K90" s="111" t="s">
        <v>350</v>
      </c>
      <c r="L90" s="111" t="s">
        <v>297</v>
      </c>
      <c r="M90" s="132" t="s">
        <v>2</v>
      </c>
      <c r="N90" s="64">
        <v>2047212646</v>
      </c>
      <c r="O90" s="137">
        <v>2047212646</v>
      </c>
      <c r="P90" s="65">
        <v>0.02</v>
      </c>
      <c r="Q90" s="32">
        <v>0</v>
      </c>
      <c r="R90" s="32">
        <f>88017538.4+20640391+20640391</f>
        <v>129298320.40000001</v>
      </c>
      <c r="S90" s="116">
        <v>2047212646</v>
      </c>
      <c r="T90" s="141" t="s">
        <v>76</v>
      </c>
    </row>
    <row r="91" spans="1:21" ht="256.5" outlineLevel="1" x14ac:dyDescent="0.25">
      <c r="A91" s="144">
        <v>57</v>
      </c>
      <c r="B91" s="119" t="s">
        <v>181</v>
      </c>
      <c r="C91" s="111" t="s">
        <v>182</v>
      </c>
      <c r="D91" s="111" t="s">
        <v>93</v>
      </c>
      <c r="E91" s="111"/>
      <c r="F91" s="111"/>
      <c r="G91" s="111"/>
      <c r="H91" s="111"/>
      <c r="I91" s="111"/>
      <c r="J91" s="111"/>
      <c r="K91" s="111" t="s">
        <v>351</v>
      </c>
      <c r="L91" s="111" t="s">
        <v>183</v>
      </c>
      <c r="M91" s="132" t="s">
        <v>51</v>
      </c>
      <c r="N91" s="64">
        <v>2217000</v>
      </c>
      <c r="O91" s="64">
        <v>2217000</v>
      </c>
      <c r="P91" s="66">
        <v>0.02</v>
      </c>
      <c r="Q91" s="32">
        <f>1656550.78+18166.04+7000680/387.28+18122.86+18122.86+32122.86+28837.1+8000</f>
        <v>1797999.0337740141</v>
      </c>
      <c r="R91" s="32">
        <f>108750.120345235+1633.42+698950/387.28+1809.39+1778.61+1691.44+3308.88+1649.96</f>
        <v>122426.58692238849</v>
      </c>
      <c r="S91" s="116">
        <v>1010837.1</v>
      </c>
      <c r="T91" s="141" t="s">
        <v>184</v>
      </c>
    </row>
    <row r="92" spans="1:21" ht="48.75" customHeight="1" outlineLevel="1" x14ac:dyDescent="0.25">
      <c r="A92" s="132">
        <v>58</v>
      </c>
      <c r="B92" s="131" t="s">
        <v>284</v>
      </c>
      <c r="C92" s="132" t="s">
        <v>285</v>
      </c>
      <c r="D92" s="132" t="s">
        <v>286</v>
      </c>
      <c r="E92" s="132" t="s">
        <v>29</v>
      </c>
      <c r="F92" s="132">
        <v>20000000</v>
      </c>
      <c r="G92" s="132">
        <v>4199559.68</v>
      </c>
      <c r="H92" s="132" t="s">
        <v>288</v>
      </c>
      <c r="I92" s="132"/>
      <c r="J92" s="132"/>
      <c r="K92" s="132" t="s">
        <v>352</v>
      </c>
      <c r="L92" s="111" t="s">
        <v>287</v>
      </c>
      <c r="M92" s="132" t="s">
        <v>29</v>
      </c>
      <c r="N92" s="64">
        <f>4199559.68+12720691.2+1113060.48+1966688.64</f>
        <v>20000000</v>
      </c>
      <c r="O92" s="64">
        <f>N92</f>
        <v>20000000</v>
      </c>
      <c r="P92" s="66" t="s">
        <v>288</v>
      </c>
      <c r="Q92" s="32"/>
      <c r="R92" s="67">
        <f>77849.88+103888.1+413918.01</f>
        <v>595655.99</v>
      </c>
      <c r="S92" s="116">
        <f t="shared" ref="S92:S97" si="7">O92-Q92</f>
        <v>20000000</v>
      </c>
      <c r="T92" s="141" t="s">
        <v>289</v>
      </c>
    </row>
    <row r="93" spans="1:21" s="4" customFormat="1" ht="38.25" customHeight="1" outlineLevel="1" x14ac:dyDescent="0.2">
      <c r="A93" s="372">
        <v>59</v>
      </c>
      <c r="B93" s="352" t="s">
        <v>185</v>
      </c>
      <c r="C93" s="332" t="s">
        <v>186</v>
      </c>
      <c r="D93" s="332"/>
      <c r="E93" s="129" t="s">
        <v>51</v>
      </c>
      <c r="F93" s="129"/>
      <c r="G93" s="129"/>
      <c r="H93" s="129"/>
      <c r="I93" s="129"/>
      <c r="J93" s="129"/>
      <c r="K93" s="333" t="s">
        <v>353</v>
      </c>
      <c r="L93" s="324" t="s">
        <v>187</v>
      </c>
      <c r="M93" s="135" t="s">
        <v>51</v>
      </c>
      <c r="N93" s="60">
        <v>237758.39</v>
      </c>
      <c r="O93" s="32">
        <v>237758.39</v>
      </c>
      <c r="P93" s="38"/>
      <c r="Q93" s="32"/>
      <c r="R93" s="32"/>
      <c r="S93" s="60">
        <f t="shared" si="7"/>
        <v>237758.39</v>
      </c>
      <c r="T93" s="319" t="s">
        <v>76</v>
      </c>
      <c r="U93" s="3"/>
    </row>
    <row r="94" spans="1:21" s="4" customFormat="1" ht="45" customHeight="1" outlineLevel="1" x14ac:dyDescent="0.2">
      <c r="A94" s="372"/>
      <c r="B94" s="331"/>
      <c r="C94" s="314"/>
      <c r="D94" s="314"/>
      <c r="E94" s="127"/>
      <c r="F94" s="127"/>
      <c r="G94" s="127"/>
      <c r="H94" s="127"/>
      <c r="I94" s="127"/>
      <c r="J94" s="127"/>
      <c r="K94" s="315"/>
      <c r="L94" s="315"/>
      <c r="M94" s="47" t="s">
        <v>2</v>
      </c>
      <c r="N94" s="68">
        <v>28883700</v>
      </c>
      <c r="O94" s="32">
        <v>28883700</v>
      </c>
      <c r="P94" s="139"/>
      <c r="Q94" s="32"/>
      <c r="R94" s="32"/>
      <c r="S94" s="60">
        <f t="shared" si="7"/>
        <v>28883700</v>
      </c>
      <c r="T94" s="320"/>
      <c r="U94" s="3"/>
    </row>
    <row r="95" spans="1:21" s="2" customFormat="1" ht="40.5" customHeight="1" outlineLevel="1" x14ac:dyDescent="0.25">
      <c r="A95" s="110">
        <v>60</v>
      </c>
      <c r="B95" s="119" t="s">
        <v>111</v>
      </c>
      <c r="C95" s="111" t="s">
        <v>112</v>
      </c>
      <c r="D95" s="111" t="s">
        <v>113</v>
      </c>
      <c r="E95" s="111"/>
      <c r="F95" s="111"/>
      <c r="G95" s="111"/>
      <c r="H95" s="111"/>
      <c r="I95" s="111"/>
      <c r="J95" s="111"/>
      <c r="K95" s="111" t="s">
        <v>354</v>
      </c>
      <c r="L95" s="111" t="s">
        <v>114</v>
      </c>
      <c r="M95" s="111" t="s">
        <v>2</v>
      </c>
      <c r="N95" s="137">
        <v>303444194</v>
      </c>
      <c r="O95" s="137">
        <v>303444194</v>
      </c>
      <c r="P95" s="139">
        <v>0</v>
      </c>
      <c r="Q95" s="137"/>
      <c r="R95" s="137"/>
      <c r="S95" s="124">
        <f t="shared" si="7"/>
        <v>303444194</v>
      </c>
      <c r="T95" s="141" t="s">
        <v>76</v>
      </c>
      <c r="U95" s="1"/>
    </row>
    <row r="96" spans="1:21" ht="51" customHeight="1" x14ac:dyDescent="0.25">
      <c r="A96" s="132">
        <v>61</v>
      </c>
      <c r="B96" s="131" t="s">
        <v>440</v>
      </c>
      <c r="C96" s="132" t="s">
        <v>441</v>
      </c>
      <c r="D96" s="132" t="s">
        <v>113</v>
      </c>
      <c r="E96" s="132"/>
      <c r="F96" s="132"/>
      <c r="G96" s="132"/>
      <c r="H96" s="132"/>
      <c r="I96" s="132"/>
      <c r="J96" s="132"/>
      <c r="K96" s="132" t="s">
        <v>442</v>
      </c>
      <c r="L96" s="132" t="s">
        <v>443</v>
      </c>
      <c r="M96" s="132" t="s">
        <v>2</v>
      </c>
      <c r="N96" s="32">
        <v>1600000000</v>
      </c>
      <c r="O96" s="40">
        <v>1050000000</v>
      </c>
      <c r="P96" s="100">
        <v>0.06</v>
      </c>
      <c r="Q96" s="40">
        <f>16666667+16666667</f>
        <v>33333334</v>
      </c>
      <c r="R96" s="40">
        <f>14728767+7827397</f>
        <v>22556164</v>
      </c>
      <c r="S96" s="60">
        <f t="shared" si="7"/>
        <v>1016666666</v>
      </c>
      <c r="T96" s="132" t="s">
        <v>444</v>
      </c>
    </row>
    <row r="97" spans="1:22" s="2" customFormat="1" ht="47.25" customHeight="1" outlineLevel="1" x14ac:dyDescent="0.25">
      <c r="A97" s="103">
        <v>62</v>
      </c>
      <c r="B97" s="105" t="s">
        <v>446</v>
      </c>
      <c r="C97" s="105" t="s">
        <v>441</v>
      </c>
      <c r="D97" s="105" t="s">
        <v>113</v>
      </c>
      <c r="E97" s="105"/>
      <c r="F97" s="105"/>
      <c r="G97" s="105"/>
      <c r="H97" s="105"/>
      <c r="I97" s="105"/>
      <c r="J97" s="105"/>
      <c r="K97" s="99" t="s">
        <v>447</v>
      </c>
      <c r="L97" s="105" t="s">
        <v>263</v>
      </c>
      <c r="M97" s="105" t="s">
        <v>2</v>
      </c>
      <c r="N97" s="138">
        <v>2000000000</v>
      </c>
      <c r="O97" s="138">
        <v>2000000000</v>
      </c>
      <c r="P97" s="115">
        <v>1E-4</v>
      </c>
      <c r="Q97" s="138"/>
      <c r="R97" s="138"/>
      <c r="S97" s="126">
        <f t="shared" si="7"/>
        <v>2000000000</v>
      </c>
      <c r="T97" s="145" t="s">
        <v>448</v>
      </c>
      <c r="U97" s="1"/>
    </row>
    <row r="98" spans="1:22" s="2" customFormat="1" ht="47.25" customHeight="1" outlineLevel="1" x14ac:dyDescent="0.25">
      <c r="A98" s="103">
        <v>63</v>
      </c>
      <c r="B98" s="105" t="s">
        <v>188</v>
      </c>
      <c r="C98" s="105" t="s">
        <v>189</v>
      </c>
      <c r="D98" s="105" t="s">
        <v>190</v>
      </c>
      <c r="E98" s="105" t="s">
        <v>51</v>
      </c>
      <c r="F98" s="105"/>
      <c r="G98" s="105"/>
      <c r="H98" s="105"/>
      <c r="I98" s="105"/>
      <c r="J98" s="105"/>
      <c r="K98" s="99" t="s">
        <v>355</v>
      </c>
      <c r="L98" s="105" t="s">
        <v>191</v>
      </c>
      <c r="M98" s="105" t="s">
        <v>51</v>
      </c>
      <c r="N98" s="138">
        <v>10000000</v>
      </c>
      <c r="O98" s="138">
        <v>10000000</v>
      </c>
      <c r="P98" s="115" t="s">
        <v>192</v>
      </c>
      <c r="Q98" s="138">
        <v>2553676.86</v>
      </c>
      <c r="R98" s="138">
        <f>3533579.15874841+18816925/512.41+16022937.4/426.85+37537.63+37130+36723+37538+'[2]15,08,20 գործող'!$I$55+'[2]15,08,20 գործող'!$I$56</f>
        <v>3831843.4704706864</v>
      </c>
      <c r="S98" s="126">
        <f t="shared" si="6"/>
        <v>7446323.1400000006</v>
      </c>
      <c r="T98" s="145" t="s">
        <v>193</v>
      </c>
      <c r="U98" s="1"/>
    </row>
    <row r="99" spans="1:22" s="2" customFormat="1" ht="51" customHeight="1" outlineLevel="1" thickBot="1" x14ac:dyDescent="0.3">
      <c r="A99" s="104">
        <v>64</v>
      </c>
      <c r="B99" s="132" t="s">
        <v>188</v>
      </c>
      <c r="C99" s="132" t="s">
        <v>133</v>
      </c>
      <c r="D99" s="132" t="s">
        <v>190</v>
      </c>
      <c r="E99" s="132"/>
      <c r="F99" s="132"/>
      <c r="G99" s="132"/>
      <c r="H99" s="132"/>
      <c r="I99" s="132"/>
      <c r="J99" s="132"/>
      <c r="K99" s="58" t="s">
        <v>356</v>
      </c>
      <c r="L99" s="132" t="s">
        <v>194</v>
      </c>
      <c r="M99" s="132" t="s">
        <v>2</v>
      </c>
      <c r="N99" s="32">
        <v>8000000000</v>
      </c>
      <c r="O99" s="32">
        <v>8000000000</v>
      </c>
      <c r="P99" s="35" t="s">
        <v>195</v>
      </c>
      <c r="Q99" s="32"/>
      <c r="R99" s="32">
        <f>3496438357+79342466+80657534+79342466+79342466+1315069</f>
        <v>3816438358</v>
      </c>
      <c r="S99" s="116">
        <f>O99-Q99</f>
        <v>8000000000</v>
      </c>
      <c r="T99" s="140" t="s">
        <v>196</v>
      </c>
      <c r="U99" s="1"/>
    </row>
    <row r="100" spans="1:22" s="9" customFormat="1" ht="24.75" customHeight="1" x14ac:dyDescent="0.25">
      <c r="A100" s="359" t="s">
        <v>197</v>
      </c>
      <c r="B100" s="360"/>
      <c r="C100" s="360"/>
      <c r="D100" s="363" t="s">
        <v>29</v>
      </c>
      <c r="E100" s="363"/>
      <c r="F100" s="363"/>
      <c r="G100" s="363"/>
      <c r="H100" s="363"/>
      <c r="I100" s="363"/>
      <c r="J100" s="363"/>
      <c r="K100" s="363"/>
      <c r="L100" s="363"/>
      <c r="M100" s="69"/>
      <c r="N100" s="13">
        <f>SUMIF($M$73:$M$99,D100,$N$73:$N$99)</f>
        <v>41500000</v>
      </c>
      <c r="O100" s="13">
        <f>SUMIF($M$73:$M$99,D100,$O$73:$O$99)</f>
        <v>22503571.57</v>
      </c>
      <c r="P100" s="13"/>
      <c r="Q100" s="13">
        <f>SUMIF($M$73:$M$99,D100,$Q$73:$Q$99)</f>
        <v>29090.971703756208</v>
      </c>
      <c r="R100" s="13">
        <f>SUMIF($M$73:$M$99,D100,$R$73:$R$99)</f>
        <v>779879.60988818214</v>
      </c>
      <c r="S100" s="13">
        <f>SUMIF($M$73:$M$99,D100,$S$73:$S$99)</f>
        <v>22474480.598296244</v>
      </c>
      <c r="T100" s="147"/>
      <c r="U100" s="8"/>
    </row>
    <row r="101" spans="1:22" s="9" customFormat="1" ht="39" customHeight="1" x14ac:dyDescent="0.25">
      <c r="A101" s="361"/>
      <c r="B101" s="362"/>
      <c r="C101" s="362"/>
      <c r="D101" s="364" t="s">
        <v>2</v>
      </c>
      <c r="E101" s="364"/>
      <c r="F101" s="364"/>
      <c r="G101" s="364"/>
      <c r="H101" s="364"/>
      <c r="I101" s="364"/>
      <c r="J101" s="364"/>
      <c r="K101" s="364"/>
      <c r="L101" s="364"/>
      <c r="M101" s="54"/>
      <c r="N101" s="11">
        <f>SUMIF($M$73:$M$99,D101,$N$73:$N$99)</f>
        <v>20540988508.200001</v>
      </c>
      <c r="O101" s="11">
        <f>SUMIF($M$73:$M$99,D101,$O$73:$O$99)</f>
        <v>20117946824</v>
      </c>
      <c r="P101" s="11"/>
      <c r="Q101" s="11">
        <f>SUMIF($M$73:$M$99,D101,$Q$73:$Q$99)</f>
        <v>3576671344.9000001</v>
      </c>
      <c r="R101" s="11">
        <f>SUMIF($M$73:$M$99,D101,$R$73:$R$99)</f>
        <v>3979982610.1799998</v>
      </c>
      <c r="S101" s="11">
        <f>SUMIF($M$73:$M$99,D101,$S$73:$S$99)</f>
        <v>16541275479.1</v>
      </c>
      <c r="T101" s="148"/>
      <c r="U101" s="8"/>
    </row>
    <row r="102" spans="1:22" s="9" customFormat="1" ht="39" customHeight="1" x14ac:dyDescent="0.25">
      <c r="A102" s="361"/>
      <c r="B102" s="362"/>
      <c r="C102" s="362"/>
      <c r="D102" s="364" t="s">
        <v>51</v>
      </c>
      <c r="E102" s="364"/>
      <c r="F102" s="364"/>
      <c r="G102" s="364"/>
      <c r="H102" s="364"/>
      <c r="I102" s="364"/>
      <c r="J102" s="364"/>
      <c r="K102" s="364"/>
      <c r="L102" s="364"/>
      <c r="M102" s="54"/>
      <c r="N102" s="11">
        <f>SUMIF($M$73:$M$99,D102,$N$73:$N$99)</f>
        <v>32967799.48</v>
      </c>
      <c r="O102" s="11">
        <f>SUMIF($M$73:$M$99,D102,$O$73:$O$99)</f>
        <v>29785034.550000001</v>
      </c>
      <c r="P102" s="11"/>
      <c r="Q102" s="11">
        <f>SUMIF($M$73:$M$99,D102,$Q$73:$Q$99)</f>
        <v>9144564.7137413267</v>
      </c>
      <c r="R102" s="11">
        <f>SUMIF($M$73:$M$99,D102,$R$73:$R$99)</f>
        <v>6041930.8274282757</v>
      </c>
      <c r="S102" s="11">
        <f>SUMIF($M$73:$M$99,D102,$S$73:$S$99)</f>
        <v>21232305.970032688</v>
      </c>
      <c r="T102" s="148"/>
      <c r="U102" s="8"/>
    </row>
    <row r="103" spans="1:22" s="9" customFormat="1" ht="39" customHeight="1" thickBot="1" x14ac:dyDescent="0.3">
      <c r="A103" s="369"/>
      <c r="B103" s="370"/>
      <c r="C103" s="370"/>
      <c r="D103" s="371" t="s">
        <v>71</v>
      </c>
      <c r="E103" s="371"/>
      <c r="F103" s="371"/>
      <c r="G103" s="371"/>
      <c r="H103" s="371"/>
      <c r="I103" s="371"/>
      <c r="J103" s="371"/>
      <c r="K103" s="371"/>
      <c r="L103" s="371"/>
      <c r="M103" s="57"/>
      <c r="N103" s="12">
        <f>SUMIF($M$73:$M$99,D103,$N$73:$N$99)</f>
        <v>0</v>
      </c>
      <c r="O103" s="12">
        <f>SUMIF($M$73:$M$99,D103,$O$73:$O$99)</f>
        <v>0</v>
      </c>
      <c r="P103" s="12"/>
      <c r="Q103" s="12">
        <f>SUMIF($M$73:$M$99,D103,$Q$73:$Q$99)</f>
        <v>0</v>
      </c>
      <c r="R103" s="12">
        <f>SUMIF($M$73:$M$99,D103,$R$73:$R$99)</f>
        <v>0</v>
      </c>
      <c r="S103" s="12">
        <f>SUMIF($M$73:$M$99,D103,$S$73:$S$99)</f>
        <v>0</v>
      </c>
      <c r="T103" s="150"/>
      <c r="U103" s="8"/>
    </row>
    <row r="104" spans="1:22" s="4" customFormat="1" ht="156.75" customHeight="1" outlineLevel="1" x14ac:dyDescent="0.2">
      <c r="A104" s="104">
        <v>65</v>
      </c>
      <c r="B104" s="111" t="s">
        <v>0</v>
      </c>
      <c r="C104" s="111" t="s">
        <v>1</v>
      </c>
      <c r="D104" s="111"/>
      <c r="E104" s="127"/>
      <c r="F104" s="127"/>
      <c r="G104" s="127"/>
      <c r="H104" s="127"/>
      <c r="I104" s="127"/>
      <c r="J104" s="127"/>
      <c r="K104" s="113" t="s">
        <v>357</v>
      </c>
      <c r="L104" s="113" t="s">
        <v>198</v>
      </c>
      <c r="M104" s="132" t="s">
        <v>2</v>
      </c>
      <c r="N104" s="68">
        <f>3047000000+3000000000</f>
        <v>6047000000</v>
      </c>
      <c r="O104" s="40">
        <v>6000000000</v>
      </c>
      <c r="P104" s="139"/>
      <c r="Q104" s="40">
        <f>4439902959+260956717.5+995441267.7+73262192.2+103703140+88648827.6+23704487.9</f>
        <v>5985619591.8999996</v>
      </c>
      <c r="R104" s="40"/>
      <c r="S104" s="137">
        <f>O104-Q104</f>
        <v>14380408.100000381</v>
      </c>
      <c r="T104" s="146" t="s">
        <v>76</v>
      </c>
      <c r="U104" s="3"/>
    </row>
    <row r="105" spans="1:22" s="4" customFormat="1" ht="135" outlineLevel="1" x14ac:dyDescent="0.2">
      <c r="A105" s="104">
        <v>66</v>
      </c>
      <c r="B105" s="111" t="s">
        <v>3</v>
      </c>
      <c r="C105" s="111" t="s">
        <v>4</v>
      </c>
      <c r="D105" s="111"/>
      <c r="E105" s="127"/>
      <c r="F105" s="127"/>
      <c r="G105" s="127"/>
      <c r="H105" s="127"/>
      <c r="I105" s="127"/>
      <c r="J105" s="127"/>
      <c r="K105" s="113"/>
      <c r="L105" s="113" t="s">
        <v>369</v>
      </c>
      <c r="M105" s="132" t="s">
        <v>2</v>
      </c>
      <c r="N105" s="32">
        <f>2000000000+7300000000</f>
        <v>9300000000</v>
      </c>
      <c r="O105" s="40">
        <f>9024295000</f>
        <v>9024295000</v>
      </c>
      <c r="P105" s="139"/>
      <c r="Q105" s="137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</f>
        <v>8809064589.2000065</v>
      </c>
      <c r="R105" s="137">
        <f>34040214.6+16030636.8+1797857.1+7375602.5+3983531.1+11814600.3+22459610.6+9668538.8+11671711.4+6908264.6+1329981.6</f>
        <v>127080549.39999999</v>
      </c>
      <c r="S105" s="137">
        <f>O105-Q105</f>
        <v>215230410.79999352</v>
      </c>
      <c r="T105" s="146" t="s">
        <v>76</v>
      </c>
      <c r="U105" s="3"/>
    </row>
    <row r="106" spans="1:22" s="4" customFormat="1" ht="175.5" outlineLevel="1" x14ac:dyDescent="0.2">
      <c r="A106" s="104">
        <v>67</v>
      </c>
      <c r="B106" s="111" t="s">
        <v>3</v>
      </c>
      <c r="C106" s="111" t="s">
        <v>5</v>
      </c>
      <c r="D106" s="111"/>
      <c r="E106" s="127"/>
      <c r="F106" s="127"/>
      <c r="G106" s="127"/>
      <c r="H106" s="127"/>
      <c r="I106" s="127"/>
      <c r="J106" s="127"/>
      <c r="K106" s="113" t="s">
        <v>358</v>
      </c>
      <c r="L106" s="113" t="s">
        <v>6</v>
      </c>
      <c r="M106" s="132" t="s">
        <v>2</v>
      </c>
      <c r="N106" s="32">
        <v>562500000</v>
      </c>
      <c r="O106" s="40">
        <v>562500000</v>
      </c>
      <c r="P106" s="139"/>
      <c r="Q106" s="40"/>
      <c r="R106" s="40"/>
      <c r="S106" s="124">
        <f t="shared" ref="S106:S126" si="8">O106-Q106</f>
        <v>562500000</v>
      </c>
      <c r="T106" s="146" t="s">
        <v>76</v>
      </c>
      <c r="U106" s="3"/>
    </row>
    <row r="107" spans="1:22" s="4" customFormat="1" ht="147" customHeight="1" outlineLevel="1" x14ac:dyDescent="0.2">
      <c r="A107" s="104">
        <v>68</v>
      </c>
      <c r="B107" s="322" t="s">
        <v>0</v>
      </c>
      <c r="C107" s="322" t="s">
        <v>7</v>
      </c>
      <c r="D107" s="111"/>
      <c r="E107" s="127"/>
      <c r="F107" s="127"/>
      <c r="G107" s="127"/>
      <c r="H107" s="127"/>
      <c r="I107" s="127"/>
      <c r="J107" s="127"/>
      <c r="K107" s="113" t="s">
        <v>8</v>
      </c>
      <c r="L107" s="113" t="s">
        <v>9</v>
      </c>
      <c r="M107" s="132" t="s">
        <v>2</v>
      </c>
      <c r="N107" s="32">
        <v>2000000000</v>
      </c>
      <c r="O107" s="40">
        <v>2000000000</v>
      </c>
      <c r="P107" s="38">
        <v>2.7E-2</v>
      </c>
      <c r="Q107" s="40">
        <f>58766719+1052956.2</f>
        <v>59819675.200000003</v>
      </c>
      <c r="R107" s="116">
        <f>68417269.8+13462993.2+49643.9+1421840.5+38566246.5+491534.9+1119195.4+178355+29883.2+10588.6+3022.3</f>
        <v>123750573.30000001</v>
      </c>
      <c r="S107" s="116">
        <f t="shared" si="8"/>
        <v>1940180324.8</v>
      </c>
      <c r="T107" s="146" t="s">
        <v>76</v>
      </c>
      <c r="U107" s="3"/>
    </row>
    <row r="108" spans="1:22" s="4" customFormat="1" ht="144.75" customHeight="1" outlineLevel="1" x14ac:dyDescent="0.2">
      <c r="A108" s="104">
        <v>69</v>
      </c>
      <c r="B108" s="332"/>
      <c r="C108" s="332"/>
      <c r="D108" s="127"/>
      <c r="E108" s="127"/>
      <c r="F108" s="127"/>
      <c r="G108" s="127"/>
      <c r="H108" s="127"/>
      <c r="I108" s="127"/>
      <c r="J108" s="127"/>
      <c r="K108" s="113" t="s">
        <v>10</v>
      </c>
      <c r="L108" s="113" t="s">
        <v>11</v>
      </c>
      <c r="M108" s="105" t="s">
        <v>2</v>
      </c>
      <c r="N108" s="32">
        <v>2000000000</v>
      </c>
      <c r="O108" s="40">
        <v>2000000000</v>
      </c>
      <c r="P108" s="70">
        <v>5.7000000000000002E-2</v>
      </c>
      <c r="Q108" s="40"/>
      <c r="R108" s="40">
        <f>153819379.6+28421448.8+780809.1+528470.5+2614769.3+283790.1+5159868.8+1406739.9</f>
        <v>193015276.10000002</v>
      </c>
      <c r="S108" s="116">
        <f t="shared" si="8"/>
        <v>2000000000</v>
      </c>
      <c r="T108" s="146" t="s">
        <v>76</v>
      </c>
      <c r="U108" s="3"/>
    </row>
    <row r="109" spans="1:22" s="4" customFormat="1" ht="90.75" customHeight="1" outlineLevel="1" thickBot="1" x14ac:dyDescent="0.25">
      <c r="A109" s="71">
        <v>70</v>
      </c>
      <c r="B109" s="389"/>
      <c r="C109" s="389"/>
      <c r="D109" s="72"/>
      <c r="E109" s="73"/>
      <c r="F109" s="73"/>
      <c r="G109" s="73"/>
      <c r="H109" s="73"/>
      <c r="I109" s="73"/>
      <c r="J109" s="73"/>
      <c r="K109" s="113" t="s">
        <v>370</v>
      </c>
      <c r="L109" s="74" t="s">
        <v>199</v>
      </c>
      <c r="M109" s="136" t="s">
        <v>2</v>
      </c>
      <c r="N109" s="75">
        <v>5000000000</v>
      </c>
      <c r="O109" s="76">
        <v>5000000000</v>
      </c>
      <c r="P109" s="77">
        <v>2.7E-2</v>
      </c>
      <c r="Q109" s="76"/>
      <c r="R109" s="76">
        <f>34209157.5+76580313.4+83507353.3+1840160.7</f>
        <v>196136984.89999998</v>
      </c>
      <c r="S109" s="78">
        <f t="shared" si="8"/>
        <v>5000000000</v>
      </c>
      <c r="T109" s="146" t="s">
        <v>76</v>
      </c>
      <c r="U109" s="3"/>
    </row>
    <row r="110" spans="1:22" s="9" customFormat="1" ht="30" customHeight="1" x14ac:dyDescent="0.25">
      <c r="A110" s="375" t="s">
        <v>200</v>
      </c>
      <c r="B110" s="376"/>
      <c r="C110" s="376"/>
      <c r="D110" s="377" t="s">
        <v>29</v>
      </c>
      <c r="E110" s="378"/>
      <c r="F110" s="378"/>
      <c r="G110" s="378"/>
      <c r="H110" s="378"/>
      <c r="I110" s="378"/>
      <c r="J110" s="378"/>
      <c r="K110" s="378"/>
      <c r="L110" s="379"/>
      <c r="M110" s="49"/>
      <c r="N110" s="14">
        <f>SUMIF($M$104:$M$109,D110,$N$104:$N$109)</f>
        <v>0</v>
      </c>
      <c r="O110" s="14">
        <f>SUMIF($M$104:$M$109,D110,$O$104:$O$109)</f>
        <v>0</v>
      </c>
      <c r="P110" s="14"/>
      <c r="Q110" s="14">
        <f>SUMIF($M$104:$M$109,D110,$Q$104:$Q$109)</f>
        <v>0</v>
      </c>
      <c r="R110" s="14">
        <f>SUMIF($M$104:$M$109,D110,$R$104:$R$109)</f>
        <v>0</v>
      </c>
      <c r="S110" s="14">
        <f>SUMIF($M$104:$M$109,D110,$S$104:$S$109)</f>
        <v>0</v>
      </c>
      <c r="T110" s="147"/>
      <c r="U110" s="3"/>
      <c r="V110" s="4"/>
    </row>
    <row r="111" spans="1:22" s="9" customFormat="1" ht="27" customHeight="1" x14ac:dyDescent="0.25">
      <c r="A111" s="361"/>
      <c r="B111" s="362"/>
      <c r="C111" s="362"/>
      <c r="D111" s="380" t="s">
        <v>2</v>
      </c>
      <c r="E111" s="381"/>
      <c r="F111" s="381"/>
      <c r="G111" s="381"/>
      <c r="H111" s="381"/>
      <c r="I111" s="381"/>
      <c r="J111" s="381"/>
      <c r="K111" s="381"/>
      <c r="L111" s="382"/>
      <c r="M111" s="54"/>
      <c r="N111" s="14">
        <f>SUMIF($M$104:$M$109,D111,$N$104:$N$109)</f>
        <v>24909500000</v>
      </c>
      <c r="O111" s="11">
        <f>SUMIF($M$104:$M$109,D111,$O$104:$O$109)</f>
        <v>24586795000</v>
      </c>
      <c r="P111" s="11"/>
      <c r="Q111" s="11">
        <f>SUMIF($M$104:$M$109,D111,$Q$104:$Q$109)</f>
        <v>14854503856.300007</v>
      </c>
      <c r="R111" s="11">
        <f>SUMIF($M$104:$M$109,D111,$R$104:$R$109)</f>
        <v>639983383.70000005</v>
      </c>
      <c r="S111" s="11">
        <f>SUMIF($M$104:$M$109,D111,$S$104:$S$109)</f>
        <v>9732291143.6999931</v>
      </c>
      <c r="T111" s="148"/>
      <c r="U111" s="3"/>
      <c r="V111" s="4"/>
    </row>
    <row r="112" spans="1:22" s="9" customFormat="1" ht="28.5" customHeight="1" x14ac:dyDescent="0.25">
      <c r="A112" s="361"/>
      <c r="B112" s="362"/>
      <c r="C112" s="362"/>
      <c r="D112" s="380" t="s">
        <v>51</v>
      </c>
      <c r="E112" s="381"/>
      <c r="F112" s="381"/>
      <c r="G112" s="381"/>
      <c r="H112" s="381"/>
      <c r="I112" s="381"/>
      <c r="J112" s="381"/>
      <c r="K112" s="381"/>
      <c r="L112" s="382"/>
      <c r="M112" s="54"/>
      <c r="N112" s="14">
        <f>SUMIF($M$104:$M$109,D112,$N$104:$N$109)</f>
        <v>0</v>
      </c>
      <c r="O112" s="11">
        <f>SUMIF($M$104:$M$109,D112,$O$104:$O$109)</f>
        <v>0</v>
      </c>
      <c r="P112" s="11"/>
      <c r="Q112" s="11">
        <f>SUMIF($M$104:$M$109,D112,$Q$104:$Q$109)</f>
        <v>0</v>
      </c>
      <c r="R112" s="11">
        <f>SUMIF($M$104:$M$109,D112,$R$104:$R$109)</f>
        <v>0</v>
      </c>
      <c r="S112" s="11">
        <f>SUMIF($M$104:$M$109,D112,$S$104:$S$109)</f>
        <v>0</v>
      </c>
      <c r="T112" s="148"/>
      <c r="U112" s="8"/>
    </row>
    <row r="113" spans="1:21" s="9" customFormat="1" ht="30" customHeight="1" thickBot="1" x14ac:dyDescent="0.3">
      <c r="A113" s="369"/>
      <c r="B113" s="370"/>
      <c r="C113" s="370"/>
      <c r="D113" s="366" t="s">
        <v>71</v>
      </c>
      <c r="E113" s="367"/>
      <c r="F113" s="367"/>
      <c r="G113" s="367"/>
      <c r="H113" s="367"/>
      <c r="I113" s="367"/>
      <c r="J113" s="367"/>
      <c r="K113" s="367"/>
      <c r="L113" s="368"/>
      <c r="M113" s="57"/>
      <c r="N113" s="12">
        <f>SUMIF($M$104:$M$109,D113,$N$104:$N$109)</f>
        <v>0</v>
      </c>
      <c r="O113" s="12">
        <f>SUMIF($M$104:$M$109,D113,$O$104:$O$109)</f>
        <v>0</v>
      </c>
      <c r="P113" s="12"/>
      <c r="Q113" s="12">
        <f>SUMIF($M$104:$M$109,D113,$Q$104:$Q$109)</f>
        <v>0</v>
      </c>
      <c r="R113" s="12">
        <f>SUMIF($M$104:$M$109,D113,$R$104:$R$109)</f>
        <v>0</v>
      </c>
      <c r="S113" s="12">
        <f>SUMIF($M$104:$M$109,D113,$S$104:$S$109)</f>
        <v>0</v>
      </c>
      <c r="T113" s="150"/>
      <c r="U113" s="8"/>
    </row>
    <row r="114" spans="1:21" s="4" customFormat="1" ht="121.5" outlineLevel="1" x14ac:dyDescent="0.2">
      <c r="A114" s="103">
        <v>71</v>
      </c>
      <c r="B114" s="134" t="s">
        <v>201</v>
      </c>
      <c r="C114" s="134" t="s">
        <v>202</v>
      </c>
      <c r="D114" s="111"/>
      <c r="E114" s="127"/>
      <c r="F114" s="127"/>
      <c r="G114" s="127"/>
      <c r="H114" s="127"/>
      <c r="I114" s="127"/>
      <c r="J114" s="127"/>
      <c r="K114" s="113" t="s">
        <v>359</v>
      </c>
      <c r="L114" s="113" t="s">
        <v>203</v>
      </c>
      <c r="M114" s="132" t="s">
        <v>2</v>
      </c>
      <c r="N114" s="79">
        <v>574491741</v>
      </c>
      <c r="O114" s="79">
        <v>574491741</v>
      </c>
      <c r="P114" s="123">
        <v>1E-4</v>
      </c>
      <c r="Q114" s="79">
        <f>132575017.2</f>
        <v>132575017.2</v>
      </c>
      <c r="R114" s="79">
        <f>85623+14165+39966.7</f>
        <v>139754.70000000001</v>
      </c>
      <c r="S114" s="125">
        <f t="shared" si="8"/>
        <v>441916723.80000001</v>
      </c>
      <c r="T114" s="151" t="s">
        <v>204</v>
      </c>
      <c r="U114" s="3"/>
    </row>
    <row r="115" spans="1:21" s="4" customFormat="1" ht="121.5" outlineLevel="1" x14ac:dyDescent="0.2">
      <c r="A115" s="104">
        <v>72</v>
      </c>
      <c r="B115" s="119" t="s">
        <v>205</v>
      </c>
      <c r="C115" s="119" t="s">
        <v>202</v>
      </c>
      <c r="D115" s="111"/>
      <c r="E115" s="127"/>
      <c r="F115" s="127"/>
      <c r="G115" s="127"/>
      <c r="H115" s="127"/>
      <c r="I115" s="127"/>
      <c r="J115" s="127"/>
      <c r="K115" s="113" t="s">
        <v>360</v>
      </c>
      <c r="L115" s="113" t="s">
        <v>206</v>
      </c>
      <c r="M115" s="132" t="s">
        <v>2</v>
      </c>
      <c r="N115" s="68">
        <v>98612371</v>
      </c>
      <c r="O115" s="60">
        <v>98612371</v>
      </c>
      <c r="P115" s="114">
        <v>1E-4</v>
      </c>
      <c r="Q115" s="60"/>
      <c r="R115" s="60">
        <v>17060</v>
      </c>
      <c r="S115" s="124">
        <f t="shared" si="8"/>
        <v>98612371</v>
      </c>
      <c r="T115" s="146" t="s">
        <v>207</v>
      </c>
      <c r="U115" s="3"/>
    </row>
    <row r="116" spans="1:21" s="4" customFormat="1" ht="121.5" outlineLevel="1" x14ac:dyDescent="0.2">
      <c r="A116" s="104">
        <v>73</v>
      </c>
      <c r="B116" s="119" t="s">
        <v>208</v>
      </c>
      <c r="C116" s="119" t="s">
        <v>202</v>
      </c>
      <c r="D116" s="111"/>
      <c r="E116" s="127"/>
      <c r="F116" s="127"/>
      <c r="G116" s="127"/>
      <c r="H116" s="127"/>
      <c r="I116" s="127"/>
      <c r="J116" s="127"/>
      <c r="K116" s="113" t="s">
        <v>361</v>
      </c>
      <c r="L116" s="113" t="s">
        <v>209</v>
      </c>
      <c r="M116" s="132" t="s">
        <v>2</v>
      </c>
      <c r="N116" s="68">
        <v>60132468</v>
      </c>
      <c r="O116" s="60">
        <v>60132468</v>
      </c>
      <c r="P116" s="114">
        <v>1E-4</v>
      </c>
      <c r="Q116" s="60">
        <f>4625574.5+4625574.5+4625574.5+4625574.5+4625575+4625575+4625575</f>
        <v>32379023</v>
      </c>
      <c r="R116" s="60">
        <f>10367+1511.2+1400+1500+1500+1000+20000+1000</f>
        <v>38278.199999999997</v>
      </c>
      <c r="S116" s="124">
        <f t="shared" si="8"/>
        <v>27753445</v>
      </c>
      <c r="T116" s="146" t="s">
        <v>210</v>
      </c>
      <c r="U116" s="15"/>
    </row>
    <row r="117" spans="1:21" s="4" customFormat="1" ht="121.5" outlineLevel="1" x14ac:dyDescent="0.2">
      <c r="A117" s="104">
        <v>74</v>
      </c>
      <c r="B117" s="119" t="s">
        <v>211</v>
      </c>
      <c r="C117" s="119" t="s">
        <v>202</v>
      </c>
      <c r="D117" s="111"/>
      <c r="E117" s="127"/>
      <c r="F117" s="127"/>
      <c r="G117" s="127"/>
      <c r="H117" s="127"/>
      <c r="I117" s="127"/>
      <c r="J117" s="127"/>
      <c r="K117" s="113" t="s">
        <v>362</v>
      </c>
      <c r="L117" s="113" t="s">
        <v>212</v>
      </c>
      <c r="M117" s="132" t="s">
        <v>2</v>
      </c>
      <c r="N117" s="32">
        <f>9500000+12453199</f>
        <v>21953199</v>
      </c>
      <c r="O117" s="60">
        <f>9500000+12453199</f>
        <v>21953199</v>
      </c>
      <c r="P117" s="114">
        <v>1E-4</v>
      </c>
      <c r="Q117" s="60"/>
      <c r="R117" s="60">
        <v>3720</v>
      </c>
      <c r="S117" s="124">
        <f t="shared" si="8"/>
        <v>21953199</v>
      </c>
      <c r="T117" s="146" t="s">
        <v>213</v>
      </c>
      <c r="U117" s="15"/>
    </row>
    <row r="118" spans="1:21" s="4" customFormat="1" ht="129.75" customHeight="1" outlineLevel="1" x14ac:dyDescent="0.2">
      <c r="A118" s="104">
        <v>75</v>
      </c>
      <c r="B118" s="119" t="s">
        <v>214</v>
      </c>
      <c r="C118" s="119" t="s">
        <v>202</v>
      </c>
      <c r="D118" s="111"/>
      <c r="E118" s="127"/>
      <c r="F118" s="127"/>
      <c r="G118" s="127"/>
      <c r="H118" s="127"/>
      <c r="I118" s="127"/>
      <c r="J118" s="127"/>
      <c r="K118" s="113" t="s">
        <v>362</v>
      </c>
      <c r="L118" s="113" t="s">
        <v>215</v>
      </c>
      <c r="M118" s="132" t="s">
        <v>2</v>
      </c>
      <c r="N118" s="68">
        <v>15801400</v>
      </c>
      <c r="O118" s="60">
        <v>15801400</v>
      </c>
      <c r="P118" s="114">
        <v>1E-4</v>
      </c>
      <c r="Q118" s="60"/>
      <c r="R118" s="60">
        <v>3500</v>
      </c>
      <c r="S118" s="124">
        <f t="shared" si="8"/>
        <v>15801400</v>
      </c>
      <c r="T118" s="146" t="s">
        <v>216</v>
      </c>
      <c r="U118" s="15"/>
    </row>
    <row r="119" spans="1:21" s="4" customFormat="1" ht="129.75" customHeight="1" outlineLevel="1" x14ac:dyDescent="0.2">
      <c r="A119" s="104">
        <v>76</v>
      </c>
      <c r="B119" s="119" t="s">
        <v>217</v>
      </c>
      <c r="C119" s="119" t="s">
        <v>202</v>
      </c>
      <c r="D119" s="111"/>
      <c r="E119" s="127"/>
      <c r="F119" s="127"/>
      <c r="G119" s="127"/>
      <c r="H119" s="127"/>
      <c r="I119" s="127"/>
      <c r="J119" s="127"/>
      <c r="K119" s="113" t="s">
        <v>362</v>
      </c>
      <c r="L119" s="113" t="s">
        <v>215</v>
      </c>
      <c r="M119" s="132" t="s">
        <v>2</v>
      </c>
      <c r="N119" s="68">
        <v>2554000</v>
      </c>
      <c r="O119" s="60">
        <v>2554000</v>
      </c>
      <c r="P119" s="114">
        <v>1E-4</v>
      </c>
      <c r="Q119" s="60"/>
      <c r="R119" s="60">
        <f>500</f>
        <v>500</v>
      </c>
      <c r="S119" s="124">
        <f t="shared" si="8"/>
        <v>2554000</v>
      </c>
      <c r="T119" s="146" t="s">
        <v>218</v>
      </c>
      <c r="U119" s="15"/>
    </row>
    <row r="120" spans="1:21" s="4" customFormat="1" ht="129.75" customHeight="1" outlineLevel="1" x14ac:dyDescent="0.2">
      <c r="A120" s="104">
        <v>77</v>
      </c>
      <c r="B120" s="119" t="s">
        <v>219</v>
      </c>
      <c r="C120" s="119" t="s">
        <v>202</v>
      </c>
      <c r="D120" s="111"/>
      <c r="E120" s="127"/>
      <c r="F120" s="127"/>
      <c r="G120" s="127"/>
      <c r="H120" s="127"/>
      <c r="I120" s="127"/>
      <c r="J120" s="127"/>
      <c r="K120" s="113" t="s">
        <v>362</v>
      </c>
      <c r="L120" s="113" t="s">
        <v>220</v>
      </c>
      <c r="M120" s="132" t="s">
        <v>2</v>
      </c>
      <c r="N120" s="68">
        <v>29053320</v>
      </c>
      <c r="O120" s="60">
        <v>29053320</v>
      </c>
      <c r="P120" s="114">
        <v>1E-4</v>
      </c>
      <c r="Q120" s="60"/>
      <c r="R120" s="60">
        <f>2000+3000</f>
        <v>5000</v>
      </c>
      <c r="S120" s="124">
        <f t="shared" si="8"/>
        <v>29053320</v>
      </c>
      <c r="T120" s="146" t="s">
        <v>221</v>
      </c>
      <c r="U120" s="15"/>
    </row>
    <row r="121" spans="1:21" s="4" customFormat="1" ht="129.75" customHeight="1" outlineLevel="1" x14ac:dyDescent="0.2">
      <c r="A121" s="104">
        <v>78</v>
      </c>
      <c r="B121" s="119" t="s">
        <v>222</v>
      </c>
      <c r="C121" s="119" t="s">
        <v>202</v>
      </c>
      <c r="D121" s="111"/>
      <c r="E121" s="127"/>
      <c r="F121" s="127"/>
      <c r="G121" s="127"/>
      <c r="H121" s="127"/>
      <c r="I121" s="127"/>
      <c r="J121" s="127"/>
      <c r="K121" s="113" t="s">
        <v>362</v>
      </c>
      <c r="L121" s="113" t="s">
        <v>223</v>
      </c>
      <c r="M121" s="132" t="s">
        <v>2</v>
      </c>
      <c r="N121" s="68">
        <v>192064443</v>
      </c>
      <c r="O121" s="60">
        <f>95000000+97064443</f>
        <v>192064443</v>
      </c>
      <c r="P121" s="114">
        <v>1E-4</v>
      </c>
      <c r="Q121" s="60">
        <f>65000000+20000000</f>
        <v>85000000</v>
      </c>
      <c r="R121" s="60">
        <f>16100+12200+23933</f>
        <v>52233</v>
      </c>
      <c r="S121" s="124">
        <f t="shared" si="8"/>
        <v>107064443</v>
      </c>
      <c r="T121" s="146" t="s">
        <v>224</v>
      </c>
      <c r="U121" s="15"/>
    </row>
    <row r="122" spans="1:21" s="4" customFormat="1" ht="129.75" customHeight="1" outlineLevel="1" x14ac:dyDescent="0.2">
      <c r="A122" s="104">
        <v>79</v>
      </c>
      <c r="B122" s="119" t="s">
        <v>226</v>
      </c>
      <c r="C122" s="119" t="s">
        <v>202</v>
      </c>
      <c r="D122" s="111"/>
      <c r="E122" s="127"/>
      <c r="F122" s="127"/>
      <c r="G122" s="127"/>
      <c r="H122" s="127"/>
      <c r="I122" s="127"/>
      <c r="J122" s="127"/>
      <c r="K122" s="113" t="s">
        <v>362</v>
      </c>
      <c r="L122" s="113" t="s">
        <v>225</v>
      </c>
      <c r="M122" s="132" t="s">
        <v>2</v>
      </c>
      <c r="N122" s="68">
        <v>3469534</v>
      </c>
      <c r="O122" s="60">
        <v>3469534</v>
      </c>
      <c r="P122" s="114">
        <v>1E-4</v>
      </c>
      <c r="Q122" s="60">
        <v>266887</v>
      </c>
      <c r="R122" s="60">
        <f>600+86</f>
        <v>686</v>
      </c>
      <c r="S122" s="124">
        <f t="shared" si="8"/>
        <v>3202647</v>
      </c>
      <c r="T122" s="146" t="s">
        <v>227</v>
      </c>
      <c r="U122" s="15"/>
    </row>
    <row r="123" spans="1:21" s="4" customFormat="1" ht="129.75" customHeight="1" outlineLevel="1" x14ac:dyDescent="0.2">
      <c r="A123" s="104">
        <v>80</v>
      </c>
      <c r="B123" s="119" t="s">
        <v>228</v>
      </c>
      <c r="C123" s="119" t="s">
        <v>202</v>
      </c>
      <c r="D123" s="111"/>
      <c r="E123" s="127"/>
      <c r="F123" s="127"/>
      <c r="G123" s="127"/>
      <c r="H123" s="127"/>
      <c r="I123" s="127"/>
      <c r="J123" s="127"/>
      <c r="K123" s="113" t="s">
        <v>362</v>
      </c>
      <c r="L123" s="113" t="s">
        <v>229</v>
      </c>
      <c r="M123" s="132" t="s">
        <v>2</v>
      </c>
      <c r="N123" s="68">
        <v>11781702</v>
      </c>
      <c r="O123" s="60">
        <v>11781702</v>
      </c>
      <c r="P123" s="114">
        <v>1E-4</v>
      </c>
      <c r="Q123" s="60">
        <f>906285+906285+906285+906285+906285+906285+906285</f>
        <v>6343995</v>
      </c>
      <c r="R123" s="60">
        <f>3000+1500+1500</f>
        <v>6000</v>
      </c>
      <c r="S123" s="124">
        <f t="shared" si="8"/>
        <v>5437707</v>
      </c>
      <c r="T123" s="146" t="s">
        <v>230</v>
      </c>
      <c r="U123" s="15"/>
    </row>
    <row r="124" spans="1:21" s="4" customFormat="1" ht="129.75" customHeight="1" outlineLevel="1" x14ac:dyDescent="0.2">
      <c r="A124" s="104">
        <v>81</v>
      </c>
      <c r="B124" s="119" t="s">
        <v>231</v>
      </c>
      <c r="C124" s="119" t="s">
        <v>202</v>
      </c>
      <c r="D124" s="111"/>
      <c r="E124" s="127"/>
      <c r="F124" s="127"/>
      <c r="G124" s="127"/>
      <c r="H124" s="127"/>
      <c r="I124" s="127"/>
      <c r="J124" s="127"/>
      <c r="K124" s="113" t="s">
        <v>362</v>
      </c>
      <c r="L124" s="113" t="s">
        <v>232</v>
      </c>
      <c r="M124" s="132" t="s">
        <v>2</v>
      </c>
      <c r="N124" s="68">
        <f>112000000+16200000</f>
        <v>128200000</v>
      </c>
      <c r="O124" s="60">
        <f>112000000+16200000</f>
        <v>128200000</v>
      </c>
      <c r="P124" s="114">
        <v>1E-4</v>
      </c>
      <c r="Q124" s="60">
        <f>3000000+3000000+4000000</f>
        <v>10000000</v>
      </c>
      <c r="R124" s="60">
        <f>25640+12820</f>
        <v>38460</v>
      </c>
      <c r="S124" s="124">
        <f t="shared" si="8"/>
        <v>118200000</v>
      </c>
      <c r="T124" s="146" t="s">
        <v>233</v>
      </c>
      <c r="U124" s="15"/>
    </row>
    <row r="125" spans="1:21" s="4" customFormat="1" ht="129.75" customHeight="1" outlineLevel="1" x14ac:dyDescent="0.2">
      <c r="A125" s="104">
        <v>82</v>
      </c>
      <c r="B125" s="119" t="s">
        <v>234</v>
      </c>
      <c r="C125" s="119" t="s">
        <v>202</v>
      </c>
      <c r="D125" s="111"/>
      <c r="E125" s="127"/>
      <c r="F125" s="127"/>
      <c r="G125" s="127"/>
      <c r="H125" s="127"/>
      <c r="I125" s="127"/>
      <c r="J125" s="127"/>
      <c r="K125" s="113" t="s">
        <v>362</v>
      </c>
      <c r="L125" s="113" t="s">
        <v>235</v>
      </c>
      <c r="M125" s="132" t="s">
        <v>2</v>
      </c>
      <c r="N125" s="68">
        <v>26127500</v>
      </c>
      <c r="O125" s="60">
        <v>26127500</v>
      </c>
      <c r="P125" s="114">
        <v>1E-4</v>
      </c>
      <c r="Q125" s="60"/>
      <c r="R125" s="60">
        <f>4530</f>
        <v>4530</v>
      </c>
      <c r="S125" s="124">
        <f t="shared" si="8"/>
        <v>26127500</v>
      </c>
      <c r="T125" s="146" t="s">
        <v>236</v>
      </c>
      <c r="U125" s="15"/>
    </row>
    <row r="126" spans="1:21" s="4" customFormat="1" ht="129.75" customHeight="1" outlineLevel="1" x14ac:dyDescent="0.2">
      <c r="A126" s="104">
        <v>83</v>
      </c>
      <c r="B126" s="119" t="s">
        <v>237</v>
      </c>
      <c r="C126" s="119" t="s">
        <v>202</v>
      </c>
      <c r="D126" s="111"/>
      <c r="E126" s="127"/>
      <c r="F126" s="127"/>
      <c r="G126" s="127"/>
      <c r="H126" s="127"/>
      <c r="I126" s="127"/>
      <c r="J126" s="127"/>
      <c r="K126" s="113" t="s">
        <v>362</v>
      </c>
      <c r="L126" s="113" t="s">
        <v>238</v>
      </c>
      <c r="M126" s="132" t="s">
        <v>2</v>
      </c>
      <c r="N126" s="68">
        <v>19297200</v>
      </c>
      <c r="O126" s="60">
        <f>10800000+3440000+1440000+3617200</f>
        <v>19297200</v>
      </c>
      <c r="P126" s="114">
        <v>1E-4</v>
      </c>
      <c r="Q126" s="60"/>
      <c r="R126" s="60">
        <f>3000</f>
        <v>3000</v>
      </c>
      <c r="S126" s="124">
        <f t="shared" si="8"/>
        <v>19297200</v>
      </c>
      <c r="T126" s="146" t="s">
        <v>239</v>
      </c>
      <c r="U126" s="15"/>
    </row>
    <row r="127" spans="1:21" s="4" customFormat="1" ht="129.75" customHeight="1" outlineLevel="1" x14ac:dyDescent="0.2">
      <c r="A127" s="104">
        <v>84</v>
      </c>
      <c r="B127" s="119" t="s">
        <v>240</v>
      </c>
      <c r="C127" s="119" t="s">
        <v>202</v>
      </c>
      <c r="D127" s="111"/>
      <c r="E127" s="127"/>
      <c r="F127" s="127"/>
      <c r="G127" s="127"/>
      <c r="H127" s="127"/>
      <c r="I127" s="127"/>
      <c r="J127" s="127"/>
      <c r="K127" s="113" t="s">
        <v>362</v>
      </c>
      <c r="L127" s="113" t="s">
        <v>225</v>
      </c>
      <c r="M127" s="132" t="s">
        <v>2</v>
      </c>
      <c r="N127" s="68">
        <v>2164000</v>
      </c>
      <c r="O127" s="60">
        <v>2164000</v>
      </c>
      <c r="P127" s="114">
        <v>1E-4</v>
      </c>
      <c r="Q127" s="60">
        <f>166462+166462+165000+167000+166500+166500</f>
        <v>997924</v>
      </c>
      <c r="R127" s="60">
        <f>370+54.8+100+100+500</f>
        <v>1124.8</v>
      </c>
      <c r="S127" s="124">
        <f>O127-R127</f>
        <v>2162875.2000000002</v>
      </c>
      <c r="T127" s="146" t="s">
        <v>241</v>
      </c>
      <c r="U127" s="15"/>
    </row>
    <row r="128" spans="1:21" s="4" customFormat="1" ht="129.75" customHeight="1" outlineLevel="1" x14ac:dyDescent="0.2">
      <c r="A128" s="104">
        <v>85</v>
      </c>
      <c r="B128" s="119" t="s">
        <v>242</v>
      </c>
      <c r="C128" s="119" t="s">
        <v>202</v>
      </c>
      <c r="D128" s="119"/>
      <c r="E128" s="119"/>
      <c r="F128" s="119"/>
      <c r="G128" s="119"/>
      <c r="H128" s="119"/>
      <c r="I128" s="119"/>
      <c r="J128" s="119"/>
      <c r="K128" s="113" t="s">
        <v>362</v>
      </c>
      <c r="L128" s="113" t="s">
        <v>243</v>
      </c>
      <c r="M128" s="132" t="s">
        <v>2</v>
      </c>
      <c r="N128" s="68">
        <v>253504102</v>
      </c>
      <c r="O128" s="60">
        <v>253504102</v>
      </c>
      <c r="P128" s="114">
        <v>1E-4</v>
      </c>
      <c r="Q128" s="60">
        <f>19500316+19500316+19500315+19500315+19500315+19500315</f>
        <v>117001892</v>
      </c>
      <c r="R128" s="60">
        <f>5973+6390+6181+6389+6181.4+6390+6390+6390+6389+5407+7015+5059.2+9482.9</f>
        <v>83637.499999999985</v>
      </c>
      <c r="S128" s="124">
        <f t="shared" ref="S128:S137" si="9">O128-Q128</f>
        <v>136502210</v>
      </c>
      <c r="T128" s="146" t="s">
        <v>244</v>
      </c>
      <c r="U128" s="15"/>
    </row>
    <row r="129" spans="1:21" s="4" customFormat="1" ht="129.75" customHeight="1" outlineLevel="1" x14ac:dyDescent="0.2">
      <c r="A129" s="104">
        <v>86</v>
      </c>
      <c r="B129" s="119" t="s">
        <v>245</v>
      </c>
      <c r="C129" s="119" t="s">
        <v>202</v>
      </c>
      <c r="D129" s="111"/>
      <c r="E129" s="127"/>
      <c r="F129" s="127"/>
      <c r="G129" s="127"/>
      <c r="H129" s="127"/>
      <c r="I129" s="127"/>
      <c r="J129" s="127"/>
      <c r="K129" s="113" t="s">
        <v>362</v>
      </c>
      <c r="L129" s="113" t="s">
        <v>243</v>
      </c>
      <c r="M129" s="132" t="s">
        <v>2</v>
      </c>
      <c r="N129" s="68">
        <v>76200000</v>
      </c>
      <c r="O129" s="60">
        <v>76200000</v>
      </c>
      <c r="P129" s="114">
        <v>1E-4</v>
      </c>
      <c r="Q129" s="60"/>
      <c r="R129" s="60">
        <f>7620+5520</f>
        <v>13140</v>
      </c>
      <c r="S129" s="124">
        <f t="shared" si="9"/>
        <v>76200000</v>
      </c>
      <c r="T129" s="146" t="s">
        <v>246</v>
      </c>
      <c r="U129" s="15"/>
    </row>
    <row r="130" spans="1:21" s="4" customFormat="1" ht="121.5" outlineLevel="1" x14ac:dyDescent="0.2">
      <c r="A130" s="104">
        <v>87</v>
      </c>
      <c r="B130" s="119" t="s">
        <v>247</v>
      </c>
      <c r="C130" s="119" t="s">
        <v>202</v>
      </c>
      <c r="D130" s="111"/>
      <c r="E130" s="127"/>
      <c r="F130" s="127"/>
      <c r="G130" s="127"/>
      <c r="H130" s="127"/>
      <c r="I130" s="127"/>
      <c r="J130" s="127"/>
      <c r="K130" s="113" t="s">
        <v>362</v>
      </c>
      <c r="L130" s="113" t="s">
        <v>248</v>
      </c>
      <c r="M130" s="132" t="s">
        <v>2</v>
      </c>
      <c r="N130" s="68">
        <v>50613970</v>
      </c>
      <c r="O130" s="60">
        <v>50613970</v>
      </c>
      <c r="P130" s="114">
        <v>1E-4</v>
      </c>
      <c r="Q130" s="60"/>
      <c r="R130" s="60">
        <f>8800+8800</f>
        <v>17600</v>
      </c>
      <c r="S130" s="124">
        <f t="shared" si="9"/>
        <v>50613970</v>
      </c>
      <c r="T130" s="146" t="s">
        <v>249</v>
      </c>
      <c r="U130" s="15"/>
    </row>
    <row r="131" spans="1:21" s="4" customFormat="1" ht="121.5" outlineLevel="1" x14ac:dyDescent="0.2">
      <c r="A131" s="104">
        <v>88</v>
      </c>
      <c r="B131" s="119" t="s">
        <v>250</v>
      </c>
      <c r="C131" s="119" t="s">
        <v>202</v>
      </c>
      <c r="D131" s="111"/>
      <c r="E131" s="127"/>
      <c r="F131" s="127"/>
      <c r="G131" s="127"/>
      <c r="H131" s="127"/>
      <c r="I131" s="127"/>
      <c r="J131" s="127"/>
      <c r="K131" s="113" t="s">
        <v>362</v>
      </c>
      <c r="L131" s="113" t="s">
        <v>251</v>
      </c>
      <c r="M131" s="132" t="s">
        <v>2</v>
      </c>
      <c r="N131" s="68">
        <v>184740000</v>
      </c>
      <c r="O131" s="60">
        <v>184740000</v>
      </c>
      <c r="P131" s="114">
        <v>1E-4</v>
      </c>
      <c r="Q131" s="60"/>
      <c r="R131" s="60">
        <f>31700</f>
        <v>31700</v>
      </c>
      <c r="S131" s="124">
        <f t="shared" si="9"/>
        <v>184740000</v>
      </c>
      <c r="T131" s="146" t="s">
        <v>252</v>
      </c>
      <c r="U131" s="15"/>
    </row>
    <row r="132" spans="1:21" s="4" customFormat="1" ht="121.5" outlineLevel="1" x14ac:dyDescent="0.2">
      <c r="A132" s="104">
        <v>89</v>
      </c>
      <c r="B132" s="119" t="s">
        <v>253</v>
      </c>
      <c r="C132" s="119" t="s">
        <v>202</v>
      </c>
      <c r="D132" s="111"/>
      <c r="E132" s="127"/>
      <c r="F132" s="127"/>
      <c r="G132" s="127"/>
      <c r="H132" s="127"/>
      <c r="I132" s="127"/>
      <c r="J132" s="127"/>
      <c r="K132" s="113" t="s">
        <v>362</v>
      </c>
      <c r="L132" s="113" t="s">
        <v>254</v>
      </c>
      <c r="M132" s="132" t="s">
        <v>2</v>
      </c>
      <c r="N132" s="68">
        <v>219559596</v>
      </c>
      <c r="O132" s="60">
        <v>219559596</v>
      </c>
      <c r="P132" s="114">
        <v>1E-4</v>
      </c>
      <c r="Q132" s="60">
        <f>16889200+16889200+185781196</f>
        <v>219559596</v>
      </c>
      <c r="R132" s="60">
        <f>5294+5294+27550+5533+1000</f>
        <v>44671</v>
      </c>
      <c r="S132" s="124">
        <f t="shared" si="9"/>
        <v>0</v>
      </c>
      <c r="T132" s="146" t="s">
        <v>438</v>
      </c>
      <c r="U132" s="15"/>
    </row>
    <row r="133" spans="1:21" s="4" customFormat="1" ht="121.5" outlineLevel="1" x14ac:dyDescent="0.2">
      <c r="A133" s="104">
        <v>90</v>
      </c>
      <c r="B133" s="119" t="s">
        <v>255</v>
      </c>
      <c r="C133" s="119" t="s">
        <v>202</v>
      </c>
      <c r="D133" s="111"/>
      <c r="E133" s="127"/>
      <c r="F133" s="127"/>
      <c r="G133" s="127"/>
      <c r="H133" s="127"/>
      <c r="I133" s="127"/>
      <c r="J133" s="127"/>
      <c r="K133" s="113" t="s">
        <v>362</v>
      </c>
      <c r="L133" s="113" t="s">
        <v>251</v>
      </c>
      <c r="M133" s="132" t="s">
        <v>2</v>
      </c>
      <c r="N133" s="68">
        <v>29081500</v>
      </c>
      <c r="O133" s="60">
        <v>29081500</v>
      </c>
      <c r="P133" s="114">
        <v>1E-4</v>
      </c>
      <c r="Q133" s="60"/>
      <c r="R133" s="60">
        <f>1000+4000+3000+1000</f>
        <v>9000</v>
      </c>
      <c r="S133" s="124">
        <f t="shared" si="9"/>
        <v>29081500</v>
      </c>
      <c r="T133" s="146" t="s">
        <v>256</v>
      </c>
      <c r="U133" s="15"/>
    </row>
    <row r="134" spans="1:21" s="4" customFormat="1" ht="123" customHeight="1" outlineLevel="1" x14ac:dyDescent="0.2">
      <c r="A134" s="104">
        <v>91</v>
      </c>
      <c r="B134" s="119" t="s">
        <v>257</v>
      </c>
      <c r="C134" s="119" t="s">
        <v>202</v>
      </c>
      <c r="D134" s="111"/>
      <c r="E134" s="127"/>
      <c r="F134" s="127"/>
      <c r="G134" s="127"/>
      <c r="H134" s="127"/>
      <c r="I134" s="127"/>
      <c r="J134" s="127"/>
      <c r="K134" s="113" t="s">
        <v>362</v>
      </c>
      <c r="L134" s="113" t="s">
        <v>258</v>
      </c>
      <c r="M134" s="132" t="s">
        <v>2</v>
      </c>
      <c r="N134" s="68">
        <v>12060940</v>
      </c>
      <c r="O134" s="79">
        <v>12060940</v>
      </c>
      <c r="P134" s="114">
        <v>1E-4</v>
      </c>
      <c r="Q134" s="60"/>
      <c r="R134" s="60">
        <v>2170</v>
      </c>
      <c r="S134" s="124">
        <f t="shared" si="9"/>
        <v>12060940</v>
      </c>
      <c r="T134" s="146" t="s">
        <v>259</v>
      </c>
      <c r="U134" s="15"/>
    </row>
    <row r="135" spans="1:21" s="4" customFormat="1" ht="32.25" customHeight="1" outlineLevel="1" x14ac:dyDescent="0.2">
      <c r="A135" s="104">
        <v>92</v>
      </c>
      <c r="B135" s="319" t="s">
        <v>456</v>
      </c>
      <c r="C135" s="383"/>
      <c r="D135" s="383"/>
      <c r="E135" s="383"/>
      <c r="F135" s="383"/>
      <c r="G135" s="383"/>
      <c r="H135" s="383"/>
      <c r="I135" s="383"/>
      <c r="J135" s="383"/>
      <c r="K135" s="373"/>
      <c r="L135" s="132" t="s">
        <v>457</v>
      </c>
      <c r="M135" s="132" t="s">
        <v>2</v>
      </c>
      <c r="N135" s="32">
        <v>1000000000</v>
      </c>
      <c r="O135" s="32">
        <v>1000000000</v>
      </c>
      <c r="P135" s="62"/>
      <c r="Q135" s="32"/>
      <c r="R135" s="32"/>
      <c r="S135" s="116">
        <f t="shared" si="9"/>
        <v>1000000000</v>
      </c>
      <c r="T135" s="140"/>
      <c r="U135" s="15"/>
    </row>
    <row r="136" spans="1:21" s="4" customFormat="1" ht="32.25" customHeight="1" outlineLevel="1" x14ac:dyDescent="0.2">
      <c r="A136" s="104">
        <v>93</v>
      </c>
      <c r="B136" s="384"/>
      <c r="C136" s="385"/>
      <c r="D136" s="385"/>
      <c r="E136" s="385"/>
      <c r="F136" s="385"/>
      <c r="G136" s="385"/>
      <c r="H136" s="385"/>
      <c r="I136" s="385"/>
      <c r="J136" s="385"/>
      <c r="K136" s="386"/>
      <c r="L136" s="132" t="s">
        <v>458</v>
      </c>
      <c r="M136" s="132" t="s">
        <v>2</v>
      </c>
      <c r="N136" s="137">
        <v>750000000</v>
      </c>
      <c r="O136" s="32">
        <v>750000000</v>
      </c>
      <c r="P136" s="66">
        <v>0.05</v>
      </c>
      <c r="Q136" s="32">
        <v>34125868.899999999</v>
      </c>
      <c r="R136" s="32">
        <f>18833145+17847821</f>
        <v>36680966</v>
      </c>
      <c r="S136" s="116">
        <f t="shared" si="9"/>
        <v>715874131.10000002</v>
      </c>
      <c r="T136" s="141"/>
      <c r="U136" s="15"/>
    </row>
    <row r="137" spans="1:21" s="4" customFormat="1" ht="27" outlineLevel="1" x14ac:dyDescent="0.2">
      <c r="A137" s="104">
        <v>94</v>
      </c>
      <c r="B137" s="384"/>
      <c r="C137" s="385"/>
      <c r="D137" s="385"/>
      <c r="E137" s="385"/>
      <c r="F137" s="385"/>
      <c r="G137" s="385"/>
      <c r="H137" s="385"/>
      <c r="I137" s="385"/>
      <c r="J137" s="385"/>
      <c r="K137" s="386"/>
      <c r="L137" s="132" t="s">
        <v>459</v>
      </c>
      <c r="M137" s="132" t="s">
        <v>2</v>
      </c>
      <c r="N137" s="64">
        <v>15000000000</v>
      </c>
      <c r="O137" s="32">
        <v>15000000000</v>
      </c>
      <c r="P137" s="66">
        <v>0.115</v>
      </c>
      <c r="Q137" s="32">
        <f>3720016988+5279983000</f>
        <v>8999999988</v>
      </c>
      <c r="R137" s="32">
        <f>3370287993.6+85295214+22726326+29089436+33479452+24919706+27037427+32410959+90000000+78736184+85295214+84368092</f>
        <v>3963646003.5999999</v>
      </c>
      <c r="S137" s="116">
        <f t="shared" si="9"/>
        <v>6000000012</v>
      </c>
      <c r="T137" s="141" t="s">
        <v>76</v>
      </c>
      <c r="U137" s="15"/>
    </row>
    <row r="138" spans="1:21" s="2" customFormat="1" ht="33" customHeight="1" outlineLevel="1" thickBot="1" x14ac:dyDescent="0.3">
      <c r="A138" s="104">
        <v>95</v>
      </c>
      <c r="B138" s="357"/>
      <c r="C138" s="387"/>
      <c r="D138" s="387"/>
      <c r="E138" s="387"/>
      <c r="F138" s="387"/>
      <c r="G138" s="387"/>
      <c r="H138" s="387"/>
      <c r="I138" s="387"/>
      <c r="J138" s="387"/>
      <c r="K138" s="388"/>
      <c r="L138" s="132" t="s">
        <v>460</v>
      </c>
      <c r="M138" s="132" t="s">
        <v>2</v>
      </c>
      <c r="N138" s="40">
        <v>60235505470</v>
      </c>
      <c r="O138" s="40">
        <v>60235505470</v>
      </c>
      <c r="P138" s="100">
        <v>1.7500000000000002E-2</v>
      </c>
      <c r="Q138" s="60">
        <f>3183233220+212876480+215918030+213513700+216535610+214152800+214471030+217463440+215112920+219846551+222811203+220495152+223439815+221362202</f>
        <v>6011232153</v>
      </c>
      <c r="R138" s="60">
        <f>1286100840+85079124+82037574+84441904+81419994+83802804+83484574+80492164+82842684+79870064+82516966+81963767+74281621+82240367+79275714+81591765+78647103+80724716</f>
        <v>2670813745</v>
      </c>
      <c r="S138" s="116">
        <f>O138-Q138</f>
        <v>54224273317</v>
      </c>
      <c r="T138" s="140"/>
      <c r="U138" s="1"/>
    </row>
    <row r="139" spans="1:21" s="9" customFormat="1" ht="30" customHeight="1" x14ac:dyDescent="0.25">
      <c r="A139" s="375" t="s">
        <v>437</v>
      </c>
      <c r="B139" s="376"/>
      <c r="C139" s="376"/>
      <c r="D139" s="393" t="s">
        <v>29</v>
      </c>
      <c r="E139" s="394"/>
      <c r="F139" s="394"/>
      <c r="G139" s="394"/>
      <c r="H139" s="394"/>
      <c r="I139" s="394"/>
      <c r="J139" s="394"/>
      <c r="K139" s="394"/>
      <c r="L139" s="395"/>
      <c r="M139" s="101"/>
      <c r="N139" s="10">
        <f>SUMIF($M$114:$M$138,D139,$N$114:$N$138)</f>
        <v>0</v>
      </c>
      <c r="O139" s="13">
        <f>SUMIF($M$104:$M$138,D139,$O$104:$O$138)</f>
        <v>0</v>
      </c>
      <c r="P139" s="13"/>
      <c r="Q139" s="11">
        <f>SUMIF($M$114:$M$138,D139,$Q$114:$Q$138)</f>
        <v>0</v>
      </c>
      <c r="R139" s="13">
        <f>SUMIF($M$104:$M$138,D139,$R$104:$R$138)</f>
        <v>0</v>
      </c>
      <c r="S139" s="13">
        <f>SUMIF($M$104:$M$138,D139,$S$104:$S$138)</f>
        <v>0</v>
      </c>
      <c r="T139" s="147"/>
      <c r="U139" s="8"/>
    </row>
    <row r="140" spans="1:21" s="9" customFormat="1" ht="27" customHeight="1" x14ac:dyDescent="0.25">
      <c r="A140" s="361"/>
      <c r="B140" s="362"/>
      <c r="C140" s="362"/>
      <c r="D140" s="380" t="s">
        <v>2</v>
      </c>
      <c r="E140" s="381"/>
      <c r="F140" s="381"/>
      <c r="G140" s="381"/>
      <c r="H140" s="381"/>
      <c r="I140" s="381"/>
      <c r="J140" s="381"/>
      <c r="K140" s="381"/>
      <c r="L140" s="382"/>
      <c r="M140" s="54"/>
      <c r="N140" s="11">
        <f>SUMIF($M$114:$M$138,D140,$N$114:$N$138)</f>
        <v>78996968456</v>
      </c>
      <c r="O140" s="11">
        <f>SUMIF($M$114:$M$138,D140,$O$114:$O$138)</f>
        <v>78996968456</v>
      </c>
      <c r="P140" s="11"/>
      <c r="Q140" s="11">
        <f>SUMIF($M$114:$M$138,D140,$Q$114:$Q$138)</f>
        <v>15649482344.1</v>
      </c>
      <c r="R140" s="11">
        <f>SUMIF($M$114:$M$138,D140,$R$114:$R$138)</f>
        <v>6671656479.7999992</v>
      </c>
      <c r="S140" s="11">
        <f>SUMIF($M$114:$M$138,D140,$S$114:$S$138)</f>
        <v>63348482911.099998</v>
      </c>
      <c r="T140" s="148"/>
      <c r="U140" s="8"/>
    </row>
    <row r="141" spans="1:21" s="9" customFormat="1" ht="28.5" customHeight="1" x14ac:dyDescent="0.25">
      <c r="A141" s="361"/>
      <c r="B141" s="362"/>
      <c r="C141" s="362"/>
      <c r="D141" s="380" t="s">
        <v>51</v>
      </c>
      <c r="E141" s="381"/>
      <c r="F141" s="381"/>
      <c r="G141" s="381"/>
      <c r="H141" s="381"/>
      <c r="I141" s="381"/>
      <c r="J141" s="381"/>
      <c r="K141" s="381"/>
      <c r="L141" s="382"/>
      <c r="M141" s="54"/>
      <c r="N141" s="11">
        <f>SUMIF($M$114:$M$138,D141,$N$114:$N$138)</f>
        <v>0</v>
      </c>
      <c r="O141" s="11">
        <f>SUMIF($M$104:$M$138,D141,$O$104:$O$138)</f>
        <v>0</v>
      </c>
      <c r="P141" s="11"/>
      <c r="Q141" s="11">
        <f>SUMIF($M$104:$M$138,D141,$Q$104:$Q$138)</f>
        <v>0</v>
      </c>
      <c r="R141" s="11">
        <f>SUMIF($M$104:$M$138,D141,$R$104:$R$138)</f>
        <v>0</v>
      </c>
      <c r="S141" s="11">
        <f>SUMIF($M$104:$M$138,D141,$S$104:$S$138)</f>
        <v>0</v>
      </c>
      <c r="T141" s="148"/>
      <c r="U141" s="8"/>
    </row>
    <row r="142" spans="1:21" s="9" customFormat="1" ht="30" customHeight="1" thickBot="1" x14ac:dyDescent="0.3">
      <c r="A142" s="391"/>
      <c r="B142" s="392"/>
      <c r="C142" s="392"/>
      <c r="D142" s="366" t="s">
        <v>71</v>
      </c>
      <c r="E142" s="367"/>
      <c r="F142" s="367"/>
      <c r="G142" s="367"/>
      <c r="H142" s="367"/>
      <c r="I142" s="367"/>
      <c r="J142" s="367"/>
      <c r="K142" s="367"/>
      <c r="L142" s="368"/>
      <c r="M142" s="57"/>
      <c r="N142" s="12">
        <f>SUMIF($M$114:$M$138,D142,$N$114:$N$138)</f>
        <v>0</v>
      </c>
      <c r="O142" s="12">
        <f>SUMIF($M$104:$M$138,D142,$O$104:$O$138)</f>
        <v>0</v>
      </c>
      <c r="P142" s="12"/>
      <c r="Q142" s="12">
        <f>SUMIF($M$104:$M$138,D142,$Q$104:$Q$138)</f>
        <v>0</v>
      </c>
      <c r="R142" s="12">
        <f>SUMIF($M$104:$M$138,D142,$R$104:$R$138)</f>
        <v>0</v>
      </c>
      <c r="S142" s="12">
        <f>SUMIF($M$104:$M$138,D142,$S$104:$S$138)</f>
        <v>0</v>
      </c>
      <c r="T142" s="150"/>
      <c r="U142" s="8"/>
    </row>
    <row r="143" spans="1:21" s="9" customFormat="1" ht="15.75" customHeight="1" x14ac:dyDescent="0.25">
      <c r="A143" s="359" t="s">
        <v>260</v>
      </c>
      <c r="B143" s="360"/>
      <c r="C143" s="396"/>
      <c r="D143" s="379" t="s">
        <v>29</v>
      </c>
      <c r="E143" s="399"/>
      <c r="F143" s="399"/>
      <c r="G143" s="399"/>
      <c r="H143" s="399"/>
      <c r="I143" s="399"/>
      <c r="J143" s="399"/>
      <c r="K143" s="399"/>
      <c r="L143" s="399"/>
      <c r="M143" s="80"/>
      <c r="N143" s="14">
        <f t="shared" ref="N143:S146" si="10">N47+N58+N69+N100+N110+N139</f>
        <v>340755742.28000003</v>
      </c>
      <c r="O143" s="14">
        <f t="shared" si="10"/>
        <v>141932627.11000001</v>
      </c>
      <c r="P143" s="14">
        <f t="shared" si="10"/>
        <v>0</v>
      </c>
      <c r="Q143" s="14">
        <f t="shared" si="10"/>
        <v>50627856.139612287</v>
      </c>
      <c r="R143" s="14">
        <f t="shared" si="10"/>
        <v>19389223.196404777</v>
      </c>
      <c r="S143" s="14">
        <f t="shared" si="10"/>
        <v>91304770.970387712</v>
      </c>
      <c r="T143" s="152"/>
      <c r="U143" s="8"/>
    </row>
    <row r="144" spans="1:21" s="9" customFormat="1" ht="17.25" customHeight="1" x14ac:dyDescent="0.25">
      <c r="A144" s="361"/>
      <c r="B144" s="362"/>
      <c r="C144" s="397"/>
      <c r="D144" s="382" t="s">
        <v>2</v>
      </c>
      <c r="E144" s="364"/>
      <c r="F144" s="364"/>
      <c r="G144" s="364"/>
      <c r="H144" s="364"/>
      <c r="I144" s="364"/>
      <c r="J144" s="364"/>
      <c r="K144" s="364"/>
      <c r="L144" s="364"/>
      <c r="M144" s="80"/>
      <c r="N144" s="14">
        <f t="shared" si="10"/>
        <v>255468393210.10001</v>
      </c>
      <c r="O144" s="14">
        <f t="shared" si="10"/>
        <v>273808808212.10999</v>
      </c>
      <c r="P144" s="14">
        <f t="shared" si="10"/>
        <v>0</v>
      </c>
      <c r="Q144" s="14">
        <f t="shared" si="10"/>
        <v>114699049227.04472</v>
      </c>
      <c r="R144" s="14">
        <f t="shared" si="10"/>
        <v>54414713944.669479</v>
      </c>
      <c r="S144" s="14">
        <f t="shared" si="10"/>
        <v>159110755784.26529</v>
      </c>
      <c r="T144" s="148"/>
      <c r="U144" s="8"/>
    </row>
    <row r="145" spans="1:21" s="9" customFormat="1" ht="15" customHeight="1" x14ac:dyDescent="0.25">
      <c r="A145" s="361"/>
      <c r="B145" s="362"/>
      <c r="C145" s="397"/>
      <c r="D145" s="382" t="s">
        <v>51</v>
      </c>
      <c r="E145" s="364"/>
      <c r="F145" s="364"/>
      <c r="G145" s="364"/>
      <c r="H145" s="364"/>
      <c r="I145" s="364"/>
      <c r="J145" s="364"/>
      <c r="K145" s="364"/>
      <c r="L145" s="364"/>
      <c r="M145" s="54"/>
      <c r="N145" s="14">
        <f t="shared" si="10"/>
        <v>481140620.32000005</v>
      </c>
      <c r="O145" s="14">
        <f t="shared" si="10"/>
        <v>361352417.42000002</v>
      </c>
      <c r="P145" s="14">
        <f t="shared" si="10"/>
        <v>0</v>
      </c>
      <c r="Q145" s="14">
        <f t="shared" si="10"/>
        <v>115381872.29957025</v>
      </c>
      <c r="R145" s="14">
        <f t="shared" si="10"/>
        <v>62407926.380864896</v>
      </c>
      <c r="S145" s="14">
        <f t="shared" si="10"/>
        <v>246562381.25420377</v>
      </c>
      <c r="T145" s="148"/>
      <c r="U145" s="8"/>
    </row>
    <row r="146" spans="1:21" s="9" customFormat="1" ht="25.5" customHeight="1" x14ac:dyDescent="0.25">
      <c r="A146" s="391"/>
      <c r="B146" s="392"/>
      <c r="C146" s="398"/>
      <c r="D146" s="400" t="s">
        <v>71</v>
      </c>
      <c r="E146" s="365"/>
      <c r="F146" s="365"/>
      <c r="G146" s="365"/>
      <c r="H146" s="365"/>
      <c r="I146" s="365"/>
      <c r="J146" s="365"/>
      <c r="K146" s="365"/>
      <c r="L146" s="365"/>
      <c r="M146" s="55"/>
      <c r="N146" s="14">
        <f t="shared" si="10"/>
        <v>31777311969</v>
      </c>
      <c r="O146" s="14">
        <f t="shared" si="10"/>
        <v>31859249643</v>
      </c>
      <c r="P146" s="14">
        <f t="shared" si="10"/>
        <v>0</v>
      </c>
      <c r="Q146" s="14">
        <f t="shared" si="10"/>
        <v>11608502507.734192</v>
      </c>
      <c r="R146" s="14">
        <f t="shared" si="10"/>
        <v>3488879860.0944376</v>
      </c>
      <c r="S146" s="14">
        <f t="shared" si="10"/>
        <v>20250747135.265808</v>
      </c>
      <c r="T146" s="149"/>
      <c r="U146" s="8"/>
    </row>
    <row r="147" spans="1:21" s="9" customFormat="1" ht="15" customHeight="1" thickBot="1" x14ac:dyDescent="0.3">
      <c r="A147" s="391"/>
      <c r="B147" s="392"/>
      <c r="C147" s="398"/>
      <c r="D147" s="390" t="s">
        <v>61</v>
      </c>
      <c r="E147" s="381"/>
      <c r="F147" s="381"/>
      <c r="G147" s="381"/>
      <c r="H147" s="381"/>
      <c r="I147" s="381"/>
      <c r="J147" s="381"/>
      <c r="K147" s="381"/>
      <c r="L147" s="382"/>
      <c r="M147" s="55"/>
      <c r="N147" s="14">
        <f>N51</f>
        <v>24086688</v>
      </c>
      <c r="O147" s="14">
        <f t="shared" ref="O147:S147" si="11">O51</f>
        <v>18384172.012149811</v>
      </c>
      <c r="P147" s="14">
        <f t="shared" si="11"/>
        <v>0</v>
      </c>
      <c r="Q147" s="14">
        <f t="shared" si="11"/>
        <v>3889303.4021576373</v>
      </c>
      <c r="R147" s="14">
        <f t="shared" si="11"/>
        <v>2687639.4595199237</v>
      </c>
      <c r="S147" s="14">
        <f t="shared" si="11"/>
        <v>14494868.609992173</v>
      </c>
      <c r="T147" s="149"/>
      <c r="U147" s="8"/>
    </row>
    <row r="148" spans="1:21" ht="51" customHeight="1" thickBot="1" x14ac:dyDescent="0.3">
      <c r="A148" s="81">
        <v>96</v>
      </c>
      <c r="B148" s="82" t="s">
        <v>261</v>
      </c>
      <c r="C148" s="83" t="s">
        <v>262</v>
      </c>
      <c r="D148" s="83" t="s">
        <v>113</v>
      </c>
      <c r="E148" s="83"/>
      <c r="F148" s="83"/>
      <c r="G148" s="83"/>
      <c r="H148" s="83"/>
      <c r="I148" s="83"/>
      <c r="J148" s="83"/>
      <c r="K148" s="83" t="s">
        <v>363</v>
      </c>
      <c r="L148" s="83" t="s">
        <v>263</v>
      </c>
      <c r="M148" s="83" t="s">
        <v>2</v>
      </c>
      <c r="N148" s="84">
        <f>834800635300+144000000000+32000000000+132000000000+3500000000+14000000000+2900000000+4000000000</f>
        <v>1167200635300</v>
      </c>
      <c r="O148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P148" s="102">
        <v>1E-4</v>
      </c>
      <c r="Q148" s="85"/>
      <c r="R148" s="85"/>
      <c r="S148" s="86">
        <f>O148-Q148</f>
        <v>1161789822801.3999</v>
      </c>
      <c r="T148" s="153" t="s">
        <v>76</v>
      </c>
    </row>
    <row r="149" spans="1:21" ht="17.25" x14ac:dyDescent="0.3">
      <c r="B149" s="87" t="s">
        <v>2</v>
      </c>
      <c r="C149" s="88"/>
      <c r="M149" s="90"/>
      <c r="N149" s="16"/>
      <c r="O149" s="16"/>
      <c r="S149" s="92"/>
      <c r="T149" s="18"/>
    </row>
    <row r="150" spans="1:21" ht="17.25" x14ac:dyDescent="0.3">
      <c r="B150" s="87" t="s">
        <v>51</v>
      </c>
      <c r="C150" s="88">
        <v>403.96</v>
      </c>
      <c r="N150" s="16"/>
      <c r="O150" s="17"/>
      <c r="P150" s="93"/>
      <c r="R150" s="16"/>
      <c r="S150" s="94"/>
      <c r="T150" s="95"/>
    </row>
    <row r="151" spans="1:21" ht="17.25" x14ac:dyDescent="0.3">
      <c r="B151" s="87" t="s">
        <v>71</v>
      </c>
      <c r="C151" s="96">
        <v>2.7429999999999999</v>
      </c>
      <c r="O151" s="16"/>
      <c r="R151" s="16"/>
      <c r="S151" s="154"/>
      <c r="T151" s="97"/>
    </row>
    <row r="152" spans="1:21" ht="17.25" x14ac:dyDescent="0.3">
      <c r="B152" s="87" t="s">
        <v>29</v>
      </c>
      <c r="C152" s="88">
        <v>437.81</v>
      </c>
      <c r="O152" s="17"/>
      <c r="R152" s="16"/>
      <c r="S152" s="17"/>
      <c r="T152" s="97"/>
    </row>
    <row r="153" spans="1:21" ht="17.25" x14ac:dyDescent="0.3">
      <c r="B153" s="87" t="s">
        <v>61</v>
      </c>
      <c r="C153" s="88">
        <v>536.92999999999995</v>
      </c>
      <c r="R153" s="18"/>
      <c r="S153" s="16"/>
      <c r="T153" s="5"/>
    </row>
    <row r="154" spans="1:21" x14ac:dyDescent="0.25">
      <c r="T154" s="5"/>
    </row>
    <row r="155" spans="1:21" x14ac:dyDescent="0.25">
      <c r="S155" s="19"/>
    </row>
    <row r="156" spans="1:21" x14ac:dyDescent="0.25">
      <c r="O156" s="154"/>
      <c r="R156" s="16"/>
      <c r="S156" s="154"/>
    </row>
    <row r="162" spans="2:21" x14ac:dyDescent="0.25">
      <c r="S162" s="16"/>
    </row>
    <row r="163" spans="2:21" s="17" customFormat="1" x14ac:dyDescent="0.25">
      <c r="B163" s="20"/>
      <c r="C163" s="6"/>
      <c r="D163" s="6"/>
      <c r="E163" s="6"/>
      <c r="F163" s="6"/>
      <c r="G163" s="6"/>
      <c r="H163" s="6"/>
      <c r="I163" s="6"/>
      <c r="J163" s="6"/>
      <c r="K163" s="89"/>
      <c r="L163" s="6"/>
      <c r="M163" s="6"/>
      <c r="N163" s="6"/>
      <c r="O163" s="6"/>
      <c r="P163" s="91"/>
      <c r="Q163" s="6"/>
      <c r="R163" s="6"/>
      <c r="S163" s="16"/>
      <c r="T163" s="6"/>
      <c r="U163" s="5"/>
    </row>
  </sheetData>
  <protectedRanges>
    <protectedRange password="C670" sqref="L137:T137 A80:N92 A74:N77 A65:T68 O74:T77 O80:S92 T80:T92" name="Maria"/>
    <protectedRange algorithmName="SHA-512" hashValue="R0m7mG/o0t2+7dbQTzM5iQkFX2amgAS+iAGJudQnnweh07e6LDAbSuhvcwbzcp7drP+HIG4d/wHfMCXiBXmkow==" saltValue="hXh6Ce3lteSj/cvmR3BSBw==" spinCount="100000" sqref="T138 T96:T97 T148 A114:R134 A96:R97 A148:R148 L138:R138 T114:T134" name="Narine"/>
    <protectedRange algorithmName="SHA-512" hashValue="/qDn2zoAPl6XveVGTDHZcWIjR6P6fmKMYiOIx92BVGuoQ3TYOXlsDsoiDSLs1D9Ugjb3A3EixLJ11cGk8PSHvw==" saltValue="LV/JN9wntl8CkZ3QpoEkqA==" spinCount="100000" sqref="T97:T99 A62:R63 A97:R99 T62:T63" name="Nara"/>
    <protectedRange algorithmName="SHA-512" hashValue="2hnhy85Hze6pXZTujHMyiGA7lE9yapdzAMEgpTAQUbEvX5wkbgVJAYj8efzABUddHb+HHBXm+QO7FFQ7DdcL0Q==" saltValue="/3Se5MhqYIbXZuII16lL6A==" spinCount="100000" sqref="A104:N109 O104:T109 A73:T73" name="Nona"/>
  </protectedRanges>
  <mergeCells count="194">
    <mergeCell ref="D147:L147"/>
    <mergeCell ref="A139:C142"/>
    <mergeCell ref="D139:L139"/>
    <mergeCell ref="D140:L140"/>
    <mergeCell ref="D141:L141"/>
    <mergeCell ref="D142:L142"/>
    <mergeCell ref="A143:C147"/>
    <mergeCell ref="D143:L143"/>
    <mergeCell ref="D144:L144"/>
    <mergeCell ref="D145:L145"/>
    <mergeCell ref="D146:L146"/>
    <mergeCell ref="A110:C113"/>
    <mergeCell ref="D110:L110"/>
    <mergeCell ref="D111:L111"/>
    <mergeCell ref="D112:L112"/>
    <mergeCell ref="D113:L113"/>
    <mergeCell ref="B135:K138"/>
    <mergeCell ref="A100:C103"/>
    <mergeCell ref="D100:L100"/>
    <mergeCell ref="D101:L101"/>
    <mergeCell ref="D102:L102"/>
    <mergeCell ref="D103:L103"/>
    <mergeCell ref="B107:B109"/>
    <mergeCell ref="C107:C109"/>
    <mergeCell ref="T87:T88"/>
    <mergeCell ref="A93:A94"/>
    <mergeCell ref="B93:B94"/>
    <mergeCell ref="C93:C94"/>
    <mergeCell ref="D93:D94"/>
    <mergeCell ref="K93:K94"/>
    <mergeCell ref="L93:L94"/>
    <mergeCell ref="T93:T94"/>
    <mergeCell ref="A76:A77"/>
    <mergeCell ref="B76:B77"/>
    <mergeCell ref="C76:C77"/>
    <mergeCell ref="L76:L77"/>
    <mergeCell ref="T81:T83"/>
    <mergeCell ref="A87:A88"/>
    <mergeCell ref="B87:B88"/>
    <mergeCell ref="C87:C88"/>
    <mergeCell ref="D87:D88"/>
    <mergeCell ref="K87:K88"/>
    <mergeCell ref="A58:C61"/>
    <mergeCell ref="D58:L58"/>
    <mergeCell ref="D59:L59"/>
    <mergeCell ref="D60:L60"/>
    <mergeCell ref="D61:L61"/>
    <mergeCell ref="A69:C72"/>
    <mergeCell ref="D69:L69"/>
    <mergeCell ref="D70:L70"/>
    <mergeCell ref="D71:L71"/>
    <mergeCell ref="D72:L72"/>
    <mergeCell ref="B53:B54"/>
    <mergeCell ref="T53:T54"/>
    <mergeCell ref="A56:A57"/>
    <mergeCell ref="B56:B57"/>
    <mergeCell ref="C56:C57"/>
    <mergeCell ref="T56:T57"/>
    <mergeCell ref="P45:P46"/>
    <mergeCell ref="A47:C51"/>
    <mergeCell ref="D47:L47"/>
    <mergeCell ref="D48:L48"/>
    <mergeCell ref="D49:L49"/>
    <mergeCell ref="D50:L50"/>
    <mergeCell ref="D51:L51"/>
    <mergeCell ref="T34:T36"/>
    <mergeCell ref="A43:A44"/>
    <mergeCell ref="B43:B44"/>
    <mergeCell ref="C43:C44"/>
    <mergeCell ref="K43:K44"/>
    <mergeCell ref="L43:L44"/>
    <mergeCell ref="P43:P44"/>
    <mergeCell ref="T43:T44"/>
    <mergeCell ref="A34:A36"/>
    <mergeCell ref="B34:B36"/>
    <mergeCell ref="C34:C36"/>
    <mergeCell ref="D34:D36"/>
    <mergeCell ref="E34:E36"/>
    <mergeCell ref="K34:K36"/>
    <mergeCell ref="G31:G32"/>
    <mergeCell ref="H31:H32"/>
    <mergeCell ref="I31:I32"/>
    <mergeCell ref="J31:J32"/>
    <mergeCell ref="K31:K32"/>
    <mergeCell ref="L31:L32"/>
    <mergeCell ref="A31:A32"/>
    <mergeCell ref="B31:B32"/>
    <mergeCell ref="C31:C32"/>
    <mergeCell ref="D31:D32"/>
    <mergeCell ref="E31:E32"/>
    <mergeCell ref="F31:F32"/>
    <mergeCell ref="J27:J28"/>
    <mergeCell ref="C29:C30"/>
    <mergeCell ref="D29:D30"/>
    <mergeCell ref="E29:E30"/>
    <mergeCell ref="F29:F30"/>
    <mergeCell ref="G29:G30"/>
    <mergeCell ref="H29:H30"/>
    <mergeCell ref="I29:I30"/>
    <mergeCell ref="J29:J30"/>
    <mergeCell ref="C27:C28"/>
    <mergeCell ref="D27:D28"/>
    <mergeCell ref="F27:F28"/>
    <mergeCell ref="G27:G28"/>
    <mergeCell ref="H27:H28"/>
    <mergeCell ref="I27:I28"/>
    <mergeCell ref="P19:P22"/>
    <mergeCell ref="T19:T20"/>
    <mergeCell ref="P23:P24"/>
    <mergeCell ref="T23:T24"/>
    <mergeCell ref="A25:A26"/>
    <mergeCell ref="B25:B26"/>
    <mergeCell ref="K25:K26"/>
    <mergeCell ref="L25:L26"/>
    <mergeCell ref="P25:P26"/>
    <mergeCell ref="T25:T26"/>
    <mergeCell ref="G23:G26"/>
    <mergeCell ref="H23:H26"/>
    <mergeCell ref="I23:I26"/>
    <mergeCell ref="J23:J26"/>
    <mergeCell ref="K23:K24"/>
    <mergeCell ref="L23:L24"/>
    <mergeCell ref="A23:A24"/>
    <mergeCell ref="B23:B24"/>
    <mergeCell ref="C23:C26"/>
    <mergeCell ref="D23:D26"/>
    <mergeCell ref="E23:E26"/>
    <mergeCell ref="F23:F26"/>
    <mergeCell ref="T17:T18"/>
    <mergeCell ref="A19:A20"/>
    <mergeCell ref="B19:B20"/>
    <mergeCell ref="C19:C22"/>
    <mergeCell ref="D19:D22"/>
    <mergeCell ref="E19:E21"/>
    <mergeCell ref="F19:F21"/>
    <mergeCell ref="G19:G21"/>
    <mergeCell ref="H19:H21"/>
    <mergeCell ref="A17:A18"/>
    <mergeCell ref="B17:B18"/>
    <mergeCell ref="C17:C18"/>
    <mergeCell ref="D17:D18"/>
    <mergeCell ref="K17:K18"/>
    <mergeCell ref="L17:L18"/>
    <mergeCell ref="A21:A22"/>
    <mergeCell ref="B21:B22"/>
    <mergeCell ref="K21:K22"/>
    <mergeCell ref="L21:L22"/>
    <mergeCell ref="T21:T22"/>
    <mergeCell ref="I19:I21"/>
    <mergeCell ref="J19:J21"/>
    <mergeCell ref="K19:K20"/>
    <mergeCell ref="L19:L20"/>
    <mergeCell ref="J15:J16"/>
    <mergeCell ref="K15:K16"/>
    <mergeCell ref="L15:L16"/>
    <mergeCell ref="P15:P16"/>
    <mergeCell ref="T15:T16"/>
    <mergeCell ref="T13:T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3:A14"/>
    <mergeCell ref="B13:B14"/>
    <mergeCell ref="C13:C14"/>
    <mergeCell ref="K13:K14"/>
    <mergeCell ref="L13:L14"/>
    <mergeCell ref="P13:P14"/>
    <mergeCell ref="A1:T1"/>
    <mergeCell ref="A2:T2"/>
    <mergeCell ref="A5:A6"/>
    <mergeCell ref="B5:B6"/>
    <mergeCell ref="D5:D6"/>
    <mergeCell ref="E5:E6"/>
    <mergeCell ref="K5:K6"/>
    <mergeCell ref="T9:T10"/>
    <mergeCell ref="A11:A12"/>
    <mergeCell ref="B11:B12"/>
    <mergeCell ref="C11:C12"/>
    <mergeCell ref="K11:K12"/>
    <mergeCell ref="L11:L12"/>
    <mergeCell ref="P11:P12"/>
    <mergeCell ref="T11:T12"/>
    <mergeCell ref="A9:A10"/>
    <mergeCell ref="B9:B10"/>
    <mergeCell ref="C9:C10"/>
    <mergeCell ref="K9:K10"/>
    <mergeCell ref="L9:L10"/>
    <mergeCell ref="P9:P10"/>
  </mergeCells>
  <conditionalFormatting sqref="O5">
    <cfRule type="cellIs" dxfId="14" priority="5" operator="notEqual">
      <formula>#REF!</formula>
    </cfRule>
  </conditionalFormatting>
  <conditionalFormatting sqref="O95 O6:O33 O35:O41 O43:O45">
    <cfRule type="cellIs" dxfId="13" priority="4" operator="notEqual">
      <formula>#REF!</formula>
    </cfRule>
  </conditionalFormatting>
  <conditionalFormatting sqref="N21">
    <cfRule type="cellIs" dxfId="12" priority="3" operator="notEqual">
      <formula>#REF!</formula>
    </cfRule>
  </conditionalFormatting>
  <conditionalFormatting sqref="O46">
    <cfRule type="cellIs" dxfId="11" priority="2" operator="notEqual">
      <formula>#REF!</formula>
    </cfRule>
  </conditionalFormatting>
  <conditionalFormatting sqref="O79">
    <cfRule type="cellIs" dxfId="10" priority="1" operator="notEqual">
      <formula>#REF!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zoomScale="80" zoomScaleNormal="80" workbookViewId="0">
      <pane xSplit="2" ySplit="4" topLeftCell="C137" activePane="bottomRight" state="frozen"/>
      <selection pane="topRight" activeCell="C1" sqref="C1"/>
      <selection pane="bottomLeft" activeCell="A5" sqref="A5"/>
      <selection pane="bottomRight" activeCell="G155" sqref="G155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3.42578125" style="6" customWidth="1"/>
    <col min="4" max="4" width="16.28515625" style="6" customWidth="1"/>
    <col min="5" max="5" width="18.85546875" style="89" customWidth="1"/>
    <col min="6" max="6" width="20.140625" style="6" customWidth="1"/>
    <col min="7" max="7" width="16.42578125" style="6" bestFit="1" customWidth="1"/>
    <col min="8" max="8" width="21.28515625" style="6" customWidth="1"/>
    <col min="9" max="9" width="20.28515625" style="6" customWidth="1"/>
    <col min="10" max="10" width="21.7109375" style="91" customWidth="1"/>
    <col min="11" max="11" width="18.5703125" style="6" customWidth="1"/>
    <col min="12" max="12" width="18.85546875" style="6" bestFit="1" customWidth="1"/>
    <col min="13" max="13" width="26.7109375" style="6" bestFit="1" customWidth="1"/>
    <col min="14" max="14" width="26.42578125" style="6" customWidth="1"/>
    <col min="15" max="15" width="44.28515625" style="5" customWidth="1"/>
    <col min="16" max="16" width="23.5703125" style="5" customWidth="1"/>
    <col min="17" max="17" width="21.85546875" style="6" customWidth="1"/>
    <col min="18" max="16384" width="9.140625" style="6"/>
  </cols>
  <sheetData>
    <row r="1" spans="1:17" ht="22.5" x14ac:dyDescent="0.4">
      <c r="A1" s="309" t="s">
        <v>12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</row>
    <row r="2" spans="1:17" ht="49.5" customHeight="1" x14ac:dyDescent="0.4">
      <c r="A2" s="310" t="s">
        <v>461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</row>
    <row r="3" spans="1:17" ht="38.25" customHeight="1" thickBot="1" x14ac:dyDescent="0.3">
      <c r="A3" s="7"/>
      <c r="C3" s="7"/>
      <c r="D3" s="7"/>
      <c r="E3" s="21"/>
      <c r="F3" s="7"/>
      <c r="G3" s="7"/>
      <c r="H3" s="7"/>
      <c r="I3" s="7"/>
      <c r="J3" s="22"/>
      <c r="K3" s="7"/>
      <c r="L3" s="7"/>
      <c r="M3" s="7"/>
      <c r="N3" s="7"/>
    </row>
    <row r="4" spans="1:17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4" t="s">
        <v>298</v>
      </c>
      <c r="F4" s="24" t="s">
        <v>290</v>
      </c>
      <c r="G4" s="24" t="s">
        <v>17</v>
      </c>
      <c r="H4" s="24" t="s">
        <v>18</v>
      </c>
      <c r="I4" s="24" t="s">
        <v>19</v>
      </c>
      <c r="J4" s="26" t="s">
        <v>20</v>
      </c>
      <c r="K4" s="24" t="s">
        <v>21</v>
      </c>
      <c r="L4" s="24" t="s">
        <v>22</v>
      </c>
      <c r="M4" s="24" t="s">
        <v>23</v>
      </c>
      <c r="N4" s="27" t="s">
        <v>24</v>
      </c>
      <c r="O4" s="191" t="s">
        <v>462</v>
      </c>
      <c r="P4" s="1"/>
      <c r="Q4" s="98"/>
    </row>
    <row r="5" spans="1:17" ht="60" customHeight="1" outlineLevel="1" x14ac:dyDescent="0.25">
      <c r="A5" s="311">
        <v>1</v>
      </c>
      <c r="B5" s="313" t="s">
        <v>25</v>
      </c>
      <c r="C5" s="28" t="s">
        <v>26</v>
      </c>
      <c r="D5" s="315" t="s">
        <v>27</v>
      </c>
      <c r="E5" s="317" t="s">
        <v>299</v>
      </c>
      <c r="F5" s="158" t="s">
        <v>28</v>
      </c>
      <c r="G5" s="31" t="s">
        <v>29</v>
      </c>
      <c r="H5" s="185">
        <v>7300000</v>
      </c>
      <c r="I5" s="32">
        <f>5822389.5+13412.1+4470.7+716451.75+24588.85+716451.75+2235.35</f>
        <v>7299999.9999999991</v>
      </c>
      <c r="J5" s="30" t="s">
        <v>30</v>
      </c>
      <c r="K5" s="32">
        <f>595000+119000+119000+119000+119000+119000</f>
        <v>1190000</v>
      </c>
      <c r="L5" s="32">
        <v>652083.5</v>
      </c>
      <c r="M5" s="185">
        <f t="shared" ref="M5:M33" si="0">I5-K5</f>
        <v>6109999.9999999991</v>
      </c>
      <c r="N5" s="189" t="s">
        <v>31</v>
      </c>
      <c r="O5" s="193"/>
      <c r="Q5" s="5"/>
    </row>
    <row r="6" spans="1:17" ht="75.75" customHeight="1" outlineLevel="1" x14ac:dyDescent="0.25">
      <c r="A6" s="312"/>
      <c r="B6" s="314"/>
      <c r="C6" s="33" t="s">
        <v>32</v>
      </c>
      <c r="D6" s="316"/>
      <c r="E6" s="318"/>
      <c r="F6" s="159" t="s">
        <v>33</v>
      </c>
      <c r="G6" s="183" t="s">
        <v>29</v>
      </c>
      <c r="H6" s="32">
        <v>7300000</v>
      </c>
      <c r="I6" s="32">
        <v>7299999.9999999981</v>
      </c>
      <c r="J6" s="169" t="s">
        <v>34</v>
      </c>
      <c r="K6" s="32">
        <f>5474999.9+304166.7+304166.7+304166.7+304166.7+304166.7</f>
        <v>6995833.4000000013</v>
      </c>
      <c r="L6" s="32">
        <f>1226756+8356.16</f>
        <v>1235112.1599999999</v>
      </c>
      <c r="M6" s="32">
        <f t="shared" si="0"/>
        <v>304166.59999999683</v>
      </c>
      <c r="N6" s="140" t="s">
        <v>35</v>
      </c>
      <c r="O6" s="197"/>
      <c r="Q6" s="5"/>
    </row>
    <row r="7" spans="1:17" ht="64.5" customHeight="1" outlineLevel="1" x14ac:dyDescent="0.25">
      <c r="A7" s="156">
        <v>2</v>
      </c>
      <c r="B7" s="180" t="s">
        <v>25</v>
      </c>
      <c r="C7" s="180" t="s">
        <v>36</v>
      </c>
      <c r="D7" s="159" t="s">
        <v>27</v>
      </c>
      <c r="E7" s="161" t="s">
        <v>300</v>
      </c>
      <c r="F7" s="159" t="s">
        <v>37</v>
      </c>
      <c r="G7" s="183" t="s">
        <v>29</v>
      </c>
      <c r="H7" s="32">
        <v>14060526.73</v>
      </c>
      <c r="I7" s="32">
        <v>14060526.73</v>
      </c>
      <c r="J7" s="35">
        <v>7.4999999999999997E-3</v>
      </c>
      <c r="K7" s="32">
        <f>5858552.73979552+234342.1+234342.1+98055764.9/418.43+98932204.4/422.17+104987604.2/448.01</f>
        <v>7030263.2398433303</v>
      </c>
      <c r="L7" s="32">
        <f>1294472.69934396+40254.3+39195.3+16095956/418.43+15796672.6/422.17+16433280.1/448.01</f>
        <v>1486488.2092536527</v>
      </c>
      <c r="M7" s="32">
        <f t="shared" si="0"/>
        <v>7030263.4901566701</v>
      </c>
      <c r="N7" s="140" t="s">
        <v>31</v>
      </c>
      <c r="O7" s="197"/>
      <c r="Q7" s="5"/>
    </row>
    <row r="8" spans="1:17" ht="67.5" outlineLevel="1" x14ac:dyDescent="0.25">
      <c r="A8" s="156">
        <v>3</v>
      </c>
      <c r="B8" s="180" t="s">
        <v>25</v>
      </c>
      <c r="C8" s="180" t="s">
        <v>38</v>
      </c>
      <c r="D8" s="159" t="s">
        <v>27</v>
      </c>
      <c r="E8" s="161" t="s">
        <v>301</v>
      </c>
      <c r="F8" s="159" t="s">
        <v>39</v>
      </c>
      <c r="G8" s="183" t="s">
        <v>29</v>
      </c>
      <c r="H8" s="32">
        <v>75000000</v>
      </c>
      <c r="I8" s="32"/>
      <c r="J8" s="35" t="s">
        <v>40</v>
      </c>
      <c r="K8" s="32"/>
      <c r="L8" s="32">
        <f>1932812.5+93750+93750+93750+93750+42000937.5/448.01</f>
        <v>2401562.5</v>
      </c>
      <c r="M8" s="32">
        <f t="shared" si="0"/>
        <v>0</v>
      </c>
      <c r="N8" s="140" t="s">
        <v>35</v>
      </c>
      <c r="O8" s="197"/>
      <c r="Q8" s="5"/>
    </row>
    <row r="9" spans="1:17" ht="57.75" customHeight="1" outlineLevel="1" x14ac:dyDescent="0.25">
      <c r="A9" s="321">
        <v>4</v>
      </c>
      <c r="B9" s="322" t="s">
        <v>25</v>
      </c>
      <c r="C9" s="322" t="s">
        <v>38</v>
      </c>
      <c r="D9" s="159" t="s">
        <v>27</v>
      </c>
      <c r="E9" s="323" t="s">
        <v>301</v>
      </c>
      <c r="F9" s="324" t="s">
        <v>41</v>
      </c>
      <c r="G9" s="183" t="s">
        <v>29</v>
      </c>
      <c r="H9" s="32">
        <v>10200000</v>
      </c>
      <c r="I9" s="32">
        <f>1075381.69+59500</f>
        <v>1134881.69</v>
      </c>
      <c r="J9" s="325" t="s">
        <v>30</v>
      </c>
      <c r="K9" s="32">
        <v>0</v>
      </c>
      <c r="L9" s="32">
        <f>200690.672577969+15587.2+6522152.1/418.43+6580448.3/422.17+6983221.5/448.01</f>
        <v>263039.47283004946</v>
      </c>
      <c r="M9" s="32">
        <f>I9-K9</f>
        <v>1134881.69</v>
      </c>
      <c r="N9" s="319" t="s">
        <v>35</v>
      </c>
      <c r="O9" s="197"/>
      <c r="Q9" s="5"/>
    </row>
    <row r="10" spans="1:17" ht="57.75" customHeight="1" outlineLevel="1" x14ac:dyDescent="0.25">
      <c r="A10" s="311"/>
      <c r="B10" s="314"/>
      <c r="C10" s="314"/>
      <c r="D10" s="159" t="s">
        <v>463</v>
      </c>
      <c r="E10" s="317"/>
      <c r="F10" s="315"/>
      <c r="G10" s="183" t="s">
        <v>2</v>
      </c>
      <c r="H10" s="32"/>
      <c r="I10" s="32">
        <v>244081445</v>
      </c>
      <c r="J10" s="326"/>
      <c r="K10" s="32"/>
      <c r="L10" s="32">
        <f>9774294.3+915305.4+915305.4+915305.4</f>
        <v>12520210.500000002</v>
      </c>
      <c r="M10" s="32">
        <f>I10-K10</f>
        <v>244081445</v>
      </c>
      <c r="N10" s="320"/>
      <c r="O10" s="197"/>
      <c r="Q10" s="5"/>
    </row>
    <row r="11" spans="1:17" ht="76.5" customHeight="1" outlineLevel="1" x14ac:dyDescent="0.25">
      <c r="A11" s="321">
        <v>5</v>
      </c>
      <c r="B11" s="322" t="s">
        <v>25</v>
      </c>
      <c r="C11" s="322" t="s">
        <v>42</v>
      </c>
      <c r="D11" s="159" t="s">
        <v>126</v>
      </c>
      <c r="E11" s="323" t="s">
        <v>302</v>
      </c>
      <c r="F11" s="324" t="s">
        <v>43</v>
      </c>
      <c r="G11" s="183" t="s">
        <v>29</v>
      </c>
      <c r="H11" s="32">
        <v>10000000</v>
      </c>
      <c r="I11" s="32"/>
      <c r="J11" s="325" t="s">
        <v>44</v>
      </c>
      <c r="K11" s="32"/>
      <c r="L11" s="32">
        <v>50000</v>
      </c>
      <c r="M11" s="32">
        <f>I11-K11</f>
        <v>0</v>
      </c>
      <c r="N11" s="319" t="s">
        <v>45</v>
      </c>
      <c r="O11" s="197"/>
      <c r="Q11" s="5"/>
    </row>
    <row r="12" spans="1:17" ht="76.5" customHeight="1" outlineLevel="1" x14ac:dyDescent="0.25">
      <c r="A12" s="311"/>
      <c r="B12" s="314"/>
      <c r="C12" s="314"/>
      <c r="D12" s="159" t="s">
        <v>463</v>
      </c>
      <c r="E12" s="317"/>
      <c r="F12" s="315"/>
      <c r="G12" s="159" t="s">
        <v>2</v>
      </c>
      <c r="H12" s="32"/>
      <c r="I12" s="32"/>
      <c r="J12" s="326"/>
      <c r="K12" s="32"/>
      <c r="L12" s="32"/>
      <c r="M12" s="32">
        <f t="shared" si="0"/>
        <v>0</v>
      </c>
      <c r="N12" s="320"/>
      <c r="O12" s="197"/>
      <c r="Q12" s="5"/>
    </row>
    <row r="13" spans="1:17" ht="76.5" customHeight="1" outlineLevel="1" x14ac:dyDescent="0.25">
      <c r="A13" s="321">
        <v>6</v>
      </c>
      <c r="B13" s="322" t="s">
        <v>25</v>
      </c>
      <c r="C13" s="322" t="s">
        <v>46</v>
      </c>
      <c r="D13" s="159" t="s">
        <v>27</v>
      </c>
      <c r="E13" s="323" t="s">
        <v>303</v>
      </c>
      <c r="F13" s="324" t="s">
        <v>47</v>
      </c>
      <c r="G13" s="183" t="s">
        <v>29</v>
      </c>
      <c r="H13" s="32">
        <v>83000000</v>
      </c>
      <c r="I13" s="32"/>
      <c r="J13" s="325" t="s">
        <v>464</v>
      </c>
      <c r="K13" s="32"/>
      <c r="L13" s="32">
        <f>1930326.40003794+103750+103750+103750+103750+46481037.5/448.01</f>
        <v>2449076.4000379397</v>
      </c>
      <c r="M13" s="32">
        <f t="shared" si="0"/>
        <v>0</v>
      </c>
      <c r="N13" s="319" t="s">
        <v>35</v>
      </c>
      <c r="O13" s="197"/>
      <c r="Q13" s="5"/>
    </row>
    <row r="14" spans="1:17" ht="76.5" customHeight="1" outlineLevel="1" x14ac:dyDescent="0.25">
      <c r="A14" s="311"/>
      <c r="B14" s="314"/>
      <c r="C14" s="314"/>
      <c r="D14" s="159" t="s">
        <v>463</v>
      </c>
      <c r="E14" s="317"/>
      <c r="F14" s="315"/>
      <c r="G14" s="159" t="s">
        <v>2</v>
      </c>
      <c r="H14" s="32"/>
      <c r="I14" s="32"/>
      <c r="J14" s="326"/>
      <c r="K14" s="32"/>
      <c r="L14" s="32"/>
      <c r="M14" s="32">
        <f t="shared" si="0"/>
        <v>0</v>
      </c>
      <c r="N14" s="320"/>
      <c r="O14" s="197"/>
      <c r="P14" s="8"/>
      <c r="Q14" s="5"/>
    </row>
    <row r="15" spans="1:17" ht="96.75" customHeight="1" outlineLevel="1" x14ac:dyDescent="0.25">
      <c r="A15" s="312">
        <v>7</v>
      </c>
      <c r="B15" s="322" t="s">
        <v>25</v>
      </c>
      <c r="C15" s="322" t="s">
        <v>48</v>
      </c>
      <c r="D15" s="316" t="s">
        <v>49</v>
      </c>
      <c r="E15" s="318" t="s">
        <v>304</v>
      </c>
      <c r="F15" s="316" t="s">
        <v>50</v>
      </c>
      <c r="G15" s="183" t="s">
        <v>51</v>
      </c>
      <c r="H15" s="32">
        <f>35500000-1434414.8</f>
        <v>34065585.200000003</v>
      </c>
      <c r="I15" s="32">
        <v>34065585.200000003</v>
      </c>
      <c r="J15" s="328" t="s">
        <v>367</v>
      </c>
      <c r="K15" s="32">
        <f>3406558.5+438685248.4/386.33+457603003.3/402.99</f>
        <v>5677597.4998969967</v>
      </c>
      <c r="L15" s="32">
        <f>6927866.15+372600334/386.33+433310604.9/402.99</f>
        <v>8967566.5499026012</v>
      </c>
      <c r="M15" s="32">
        <f t="shared" si="0"/>
        <v>28387987.700103007</v>
      </c>
      <c r="N15" s="319" t="s">
        <v>52</v>
      </c>
      <c r="O15" s="401" t="s">
        <v>465</v>
      </c>
      <c r="P15" s="8"/>
      <c r="Q15" s="5"/>
    </row>
    <row r="16" spans="1:17" ht="139.5" customHeight="1" outlineLevel="1" x14ac:dyDescent="0.25">
      <c r="A16" s="312"/>
      <c r="B16" s="314"/>
      <c r="C16" s="314"/>
      <c r="D16" s="316"/>
      <c r="E16" s="318"/>
      <c r="F16" s="316"/>
      <c r="G16" s="159" t="s">
        <v>2</v>
      </c>
      <c r="H16" s="32"/>
      <c r="I16" s="32">
        <v>3680136115.8000002</v>
      </c>
      <c r="J16" s="328"/>
      <c r="K16" s="32">
        <f>387003402.1+121967878.3+121967878.3</f>
        <v>630939158.70000005</v>
      </c>
      <c r="L16" s="32">
        <f>743758864.24+103594252.5+115493072.7</f>
        <v>962846189.44000006</v>
      </c>
      <c r="M16" s="32">
        <f t="shared" si="0"/>
        <v>3049196957.1000004</v>
      </c>
      <c r="N16" s="320"/>
      <c r="O16" s="402"/>
      <c r="P16" s="8"/>
      <c r="Q16" s="5"/>
    </row>
    <row r="17" spans="1:16" s="5" customFormat="1" ht="81" customHeight="1" outlineLevel="1" x14ac:dyDescent="0.25">
      <c r="A17" s="321">
        <v>8</v>
      </c>
      <c r="B17" s="322" t="s">
        <v>25</v>
      </c>
      <c r="C17" s="322" t="s">
        <v>53</v>
      </c>
      <c r="D17" s="324" t="s">
        <v>49</v>
      </c>
      <c r="E17" s="323" t="s">
        <v>305</v>
      </c>
      <c r="F17" s="323" t="s">
        <v>54</v>
      </c>
      <c r="G17" s="183" t="s">
        <v>51</v>
      </c>
      <c r="H17" s="34">
        <f>40000000-2500000-1500000</f>
        <v>36000000</v>
      </c>
      <c r="I17" s="32">
        <v>25696827.510000002</v>
      </c>
      <c r="J17" s="35" t="s">
        <v>367</v>
      </c>
      <c r="K17" s="32">
        <v>0</v>
      </c>
      <c r="L17" s="32">
        <f>4091306.45123489+373977422.6/403.57</f>
        <v>5017979.4512101114</v>
      </c>
      <c r="M17" s="32">
        <f t="shared" si="0"/>
        <v>25696827.510000002</v>
      </c>
      <c r="N17" s="319" t="s">
        <v>52</v>
      </c>
      <c r="O17" s="401" t="s">
        <v>466</v>
      </c>
      <c r="P17" s="8"/>
    </row>
    <row r="18" spans="1:16" s="5" customFormat="1" ht="83.25" customHeight="1" outlineLevel="1" x14ac:dyDescent="0.25">
      <c r="A18" s="311"/>
      <c r="B18" s="314"/>
      <c r="C18" s="314"/>
      <c r="D18" s="315"/>
      <c r="E18" s="317"/>
      <c r="F18" s="317"/>
      <c r="G18" s="159" t="s">
        <v>2</v>
      </c>
      <c r="H18" s="34"/>
      <c r="I18" s="32">
        <v>1009149275.1</v>
      </c>
      <c r="J18" s="35"/>
      <c r="K18" s="32">
        <v>563212.19999999995</v>
      </c>
      <c r="L18" s="32">
        <f>165583419.3+41681454.8</f>
        <v>207264874.10000002</v>
      </c>
      <c r="M18" s="32">
        <f t="shared" si="0"/>
        <v>1008586062.9</v>
      </c>
      <c r="N18" s="320"/>
      <c r="O18" s="402"/>
      <c r="P18" s="8"/>
    </row>
    <row r="19" spans="1:16" s="5" customFormat="1" ht="70.5" customHeight="1" outlineLevel="1" x14ac:dyDescent="0.25">
      <c r="A19" s="321">
        <v>9</v>
      </c>
      <c r="B19" s="330" t="s">
        <v>25</v>
      </c>
      <c r="C19" s="322" t="s">
        <v>55</v>
      </c>
      <c r="D19" s="324" t="s">
        <v>49</v>
      </c>
      <c r="E19" s="323" t="s">
        <v>306</v>
      </c>
      <c r="F19" s="323" t="s">
        <v>56</v>
      </c>
      <c r="G19" s="183" t="s">
        <v>51</v>
      </c>
      <c r="H19" s="34">
        <v>23194486</v>
      </c>
      <c r="I19" s="32">
        <v>14063736.780000001</v>
      </c>
      <c r="J19" s="325" t="s">
        <v>367</v>
      </c>
      <c r="K19" s="32">
        <v>0</v>
      </c>
      <c r="L19" s="32">
        <f>1316813.632+122778919.2/386.33+153358408.7/402.99</f>
        <v>2015173.4321072174</v>
      </c>
      <c r="M19" s="32">
        <f t="shared" si="0"/>
        <v>14063736.780000001</v>
      </c>
      <c r="N19" s="319" t="s">
        <v>52</v>
      </c>
      <c r="O19" s="401" t="s">
        <v>467</v>
      </c>
      <c r="P19" s="8"/>
    </row>
    <row r="20" spans="1:16" s="5" customFormat="1" ht="54.75" customHeight="1" outlineLevel="1" x14ac:dyDescent="0.25">
      <c r="A20" s="311"/>
      <c r="B20" s="331"/>
      <c r="C20" s="332"/>
      <c r="D20" s="333"/>
      <c r="E20" s="317"/>
      <c r="F20" s="317"/>
      <c r="G20" s="159" t="s">
        <v>2</v>
      </c>
      <c r="H20" s="34"/>
      <c r="I20" s="32">
        <v>1673505397.0999999</v>
      </c>
      <c r="J20" s="334"/>
      <c r="K20" s="32">
        <v>91463799.799999997</v>
      </c>
      <c r="L20" s="32">
        <f>119885553.7+36155098.5+43333756.7</f>
        <v>199374408.89999998</v>
      </c>
      <c r="M20" s="32">
        <f t="shared" si="0"/>
        <v>1582041597.3</v>
      </c>
      <c r="N20" s="320"/>
      <c r="O20" s="402"/>
      <c r="P20" s="8"/>
    </row>
    <row r="21" spans="1:16" s="5" customFormat="1" ht="60" customHeight="1" outlineLevel="1" x14ac:dyDescent="0.25">
      <c r="A21" s="321">
        <v>10</v>
      </c>
      <c r="B21" s="330" t="s">
        <v>57</v>
      </c>
      <c r="C21" s="332"/>
      <c r="D21" s="333"/>
      <c r="E21" s="323" t="s">
        <v>307</v>
      </c>
      <c r="F21" s="323" t="s">
        <v>56</v>
      </c>
      <c r="G21" s="183" t="s">
        <v>51</v>
      </c>
      <c r="H21" s="32">
        <v>16662617.070000002</v>
      </c>
      <c r="I21" s="32">
        <v>16662617.070000002</v>
      </c>
      <c r="J21" s="334"/>
      <c r="K21" s="32"/>
      <c r="L21" s="32">
        <f>2194958+182027405/386.38+218562808/403.19</f>
        <v>3208151.702122347</v>
      </c>
      <c r="M21" s="32">
        <f t="shared" si="0"/>
        <v>16662617.070000002</v>
      </c>
      <c r="N21" s="319" t="s">
        <v>52</v>
      </c>
      <c r="O21" s="401" t="s">
        <v>468</v>
      </c>
      <c r="P21" s="8"/>
    </row>
    <row r="22" spans="1:16" s="5" customFormat="1" ht="40.5" customHeight="1" outlineLevel="1" x14ac:dyDescent="0.25">
      <c r="A22" s="311"/>
      <c r="B22" s="331"/>
      <c r="C22" s="314"/>
      <c r="D22" s="315"/>
      <c r="E22" s="317"/>
      <c r="F22" s="317"/>
      <c r="G22" s="183" t="s">
        <v>2</v>
      </c>
      <c r="H22" s="9"/>
      <c r="I22" s="32">
        <v>2003005775.2</v>
      </c>
      <c r="J22" s="326"/>
      <c r="K22" s="32"/>
      <c r="L22" s="32">
        <f>238604865.8+56631905+65163658.9</f>
        <v>360400429.69999999</v>
      </c>
      <c r="M22" s="32">
        <f t="shared" si="0"/>
        <v>2003005775.2</v>
      </c>
      <c r="N22" s="320"/>
      <c r="O22" s="402"/>
      <c r="P22" s="8"/>
    </row>
    <row r="23" spans="1:16" s="5" customFormat="1" ht="57.75" customHeight="1" outlineLevel="1" x14ac:dyDescent="0.25">
      <c r="A23" s="321">
        <v>11</v>
      </c>
      <c r="B23" s="330" t="s">
        <v>25</v>
      </c>
      <c r="C23" s="322" t="s">
        <v>58</v>
      </c>
      <c r="D23" s="324" t="s">
        <v>59</v>
      </c>
      <c r="E23" s="323" t="s">
        <v>305</v>
      </c>
      <c r="F23" s="324" t="s">
        <v>60</v>
      </c>
      <c r="G23" s="183" t="s">
        <v>61</v>
      </c>
      <c r="H23" s="36">
        <v>13988153</v>
      </c>
      <c r="I23" s="32">
        <v>8262785.6411363389</v>
      </c>
      <c r="J23" s="325">
        <v>3.1399999999999997E-2</v>
      </c>
      <c r="K23" s="32">
        <f>1430873.60020494+107795234.9/520.68+109739226/530.07</f>
        <v>1844929.200299131</v>
      </c>
      <c r="L23" s="32">
        <f>1219413.93+55848657.5/520.68+55104222/530.07</f>
        <v>1430631.4301233056</v>
      </c>
      <c r="M23" s="32">
        <f t="shared" si="0"/>
        <v>6417856.4408372082</v>
      </c>
      <c r="N23" s="319" t="s">
        <v>52</v>
      </c>
      <c r="O23" s="401" t="s">
        <v>469</v>
      </c>
      <c r="P23" s="8"/>
    </row>
    <row r="24" spans="1:16" s="5" customFormat="1" ht="32.25" customHeight="1" outlineLevel="1" x14ac:dyDescent="0.25">
      <c r="A24" s="311"/>
      <c r="B24" s="331"/>
      <c r="C24" s="332"/>
      <c r="D24" s="333"/>
      <c r="E24" s="317"/>
      <c r="F24" s="315"/>
      <c r="G24" s="159" t="s">
        <v>2</v>
      </c>
      <c r="H24" s="37"/>
      <c r="I24" s="32">
        <v>1194787815</v>
      </c>
      <c r="J24" s="326"/>
      <c r="K24" s="32">
        <f>209123295.3+29868621.8+29868621.8</f>
        <v>268860538.90000004</v>
      </c>
      <c r="L24" s="32">
        <f>177460224.6+15474933+14998180</f>
        <v>207933337.59999999</v>
      </c>
      <c r="M24" s="32">
        <f t="shared" si="0"/>
        <v>925927276.0999999</v>
      </c>
      <c r="N24" s="320"/>
      <c r="O24" s="402"/>
      <c r="P24" s="8"/>
    </row>
    <row r="25" spans="1:16" s="5" customFormat="1" ht="51.75" customHeight="1" outlineLevel="1" x14ac:dyDescent="0.25">
      <c r="A25" s="321">
        <v>12</v>
      </c>
      <c r="B25" s="330" t="s">
        <v>62</v>
      </c>
      <c r="C25" s="332"/>
      <c r="D25" s="333"/>
      <c r="E25" s="323" t="s">
        <v>308</v>
      </c>
      <c r="F25" s="324" t="s">
        <v>60</v>
      </c>
      <c r="G25" s="183" t="s">
        <v>61</v>
      </c>
      <c r="H25" s="36">
        <v>10098535</v>
      </c>
      <c r="I25" s="32">
        <v>10121386.37101347</v>
      </c>
      <c r="J25" s="325">
        <v>3.1399999999999997E-2</v>
      </c>
      <c r="K25" s="32">
        <f>1520990.1+136750579/520.29+138244588/530.59</f>
        <v>2044374.2018585065</v>
      </c>
      <c r="L25" s="32">
        <f>832426.027338+83294453/525+70252782/520.29+69454072/530.59</f>
        <v>1257008.0293966178</v>
      </c>
      <c r="M25" s="32">
        <f t="shared" si="0"/>
        <v>8077012.1691549635</v>
      </c>
      <c r="N25" s="319" t="s">
        <v>52</v>
      </c>
      <c r="O25" s="401" t="s">
        <v>470</v>
      </c>
      <c r="P25" s="8"/>
    </row>
    <row r="26" spans="1:16" s="5" customFormat="1" ht="32.25" customHeight="1" outlineLevel="1" x14ac:dyDescent="0.25">
      <c r="A26" s="311"/>
      <c r="B26" s="331"/>
      <c r="C26" s="314"/>
      <c r="D26" s="315"/>
      <c r="E26" s="317"/>
      <c r="F26" s="315"/>
      <c r="G26" s="159" t="s">
        <v>2</v>
      </c>
      <c r="H26" s="37"/>
      <c r="I26" s="32">
        <v>794162455.89999998</v>
      </c>
      <c r="J26" s="326"/>
      <c r="K26" s="32">
        <f>123592049.7+20623615+20310837</f>
        <v>164526501.69999999</v>
      </c>
      <c r="L26" s="32">
        <f>78534680.8+10527955+10204165</f>
        <v>99266800.799999997</v>
      </c>
      <c r="M26" s="32">
        <f t="shared" si="0"/>
        <v>629635954.20000005</v>
      </c>
      <c r="N26" s="320"/>
      <c r="O26" s="402"/>
      <c r="P26" s="8"/>
    </row>
    <row r="27" spans="1:16" s="5" customFormat="1" ht="48" customHeight="1" outlineLevel="1" x14ac:dyDescent="0.25">
      <c r="A27" s="156">
        <v>13</v>
      </c>
      <c r="B27" s="179" t="s">
        <v>25</v>
      </c>
      <c r="C27" s="346" t="s">
        <v>63</v>
      </c>
      <c r="D27" s="316" t="s">
        <v>64</v>
      </c>
      <c r="E27" s="161" t="s">
        <v>309</v>
      </c>
      <c r="F27" s="159" t="s">
        <v>65</v>
      </c>
      <c r="G27" s="183" t="s">
        <v>51</v>
      </c>
      <c r="H27" s="32">
        <v>19600000</v>
      </c>
      <c r="I27" s="32">
        <v>19419334.870000001</v>
      </c>
      <c r="J27" s="38">
        <v>5.0000000000000001E-3</v>
      </c>
      <c r="K27" s="32">
        <f>9716960.66852489+189584407.5/488.5+172026989.7/443.26+153375144/395.2+150045288.9/386.62+156421689.8/403.05</f>
        <v>11657435.668648943</v>
      </c>
      <c r="L27" s="32">
        <f>1129921.93024286+16077756.3/488.5+14096288.6/443.26+12233850.7/395.2+11546870.2/386.62+11574265.9/403.05</f>
        <v>1284174.8301751786</v>
      </c>
      <c r="M27" s="32">
        <f t="shared" si="0"/>
        <v>7761899.2013510577</v>
      </c>
      <c r="N27" s="140" t="s">
        <v>52</v>
      </c>
      <c r="O27" s="197"/>
      <c r="P27" s="8"/>
    </row>
    <row r="28" spans="1:16" s="5" customFormat="1" ht="60" customHeight="1" outlineLevel="1" x14ac:dyDescent="0.25">
      <c r="A28" s="156">
        <v>14</v>
      </c>
      <c r="B28" s="179" t="s">
        <v>62</v>
      </c>
      <c r="C28" s="346"/>
      <c r="D28" s="316"/>
      <c r="E28" s="161" t="s">
        <v>310</v>
      </c>
      <c r="F28" s="159" t="s">
        <v>66</v>
      </c>
      <c r="G28" s="183" t="s">
        <v>51</v>
      </c>
      <c r="H28" s="32">
        <v>297276.53999999998</v>
      </c>
      <c r="I28" s="32">
        <v>297276.53999999998</v>
      </c>
      <c r="J28" s="35" t="s">
        <v>67</v>
      </c>
      <c r="K28" s="32">
        <f>257638.543537781+4361667/440.15+3916234/395.2+3837157/387.22+3994520/403.1</f>
        <v>297276.54625526333</v>
      </c>
      <c r="L28" s="32">
        <f>229541.53251276+1912186/489.99+1556591/440.15+1259898/395.2+1094284/387.22+991707/403.1</f>
        <v>245454.73643449965</v>
      </c>
      <c r="M28" s="32">
        <f t="shared" si="0"/>
        <v>-6.255263346247375E-3</v>
      </c>
      <c r="N28" s="140" t="s">
        <v>52</v>
      </c>
      <c r="O28" s="198" t="s">
        <v>471</v>
      </c>
      <c r="P28" s="8"/>
    </row>
    <row r="29" spans="1:16" s="5" customFormat="1" ht="51" customHeight="1" outlineLevel="1" x14ac:dyDescent="0.25">
      <c r="A29" s="156">
        <v>15</v>
      </c>
      <c r="B29" s="179" t="s">
        <v>62</v>
      </c>
      <c r="C29" s="344" t="s">
        <v>68</v>
      </c>
      <c r="D29" s="316" t="s">
        <v>69</v>
      </c>
      <c r="E29" s="161" t="s">
        <v>311</v>
      </c>
      <c r="F29" s="159" t="s">
        <v>70</v>
      </c>
      <c r="G29" s="159" t="s">
        <v>71</v>
      </c>
      <c r="H29" s="32">
        <v>1571940173.3299999</v>
      </c>
      <c r="I29" s="32">
        <v>1598519063</v>
      </c>
      <c r="J29" s="38">
        <v>1.7999999999999999E-2</v>
      </c>
      <c r="K29" s="32">
        <f>1030178646.5+123394332/3.026+109815247/2.693+110426917/2.708</f>
        <v>1152512749.7454691</v>
      </c>
      <c r="L29" s="32">
        <f>226837831.925937+13873556/3.026+11211247/2.693+10505503/2.708</f>
        <v>239465155.16541752</v>
      </c>
      <c r="M29" s="32">
        <f t="shared" si="0"/>
        <v>446006313.25453091</v>
      </c>
      <c r="N29" s="140" t="s">
        <v>52</v>
      </c>
      <c r="O29" s="197"/>
      <c r="P29" s="8"/>
    </row>
    <row r="30" spans="1:16" s="5" customFormat="1" ht="41.25" customHeight="1" outlineLevel="1" x14ac:dyDescent="0.25">
      <c r="A30" s="156">
        <v>16</v>
      </c>
      <c r="B30" s="180" t="s">
        <v>72</v>
      </c>
      <c r="C30" s="344"/>
      <c r="D30" s="316"/>
      <c r="E30" s="161" t="s">
        <v>312</v>
      </c>
      <c r="F30" s="159" t="s">
        <v>70</v>
      </c>
      <c r="G30" s="159" t="s">
        <v>71</v>
      </c>
      <c r="H30" s="32">
        <v>3796371795.6700001</v>
      </c>
      <c r="I30" s="32">
        <v>3861444249</v>
      </c>
      <c r="J30" s="38">
        <v>1.7999999999999999E-2</v>
      </c>
      <c r="K30" s="32">
        <f>2513837447.56+291897058.6/3.026+259774877.3/2.693+261800600/2.714</f>
        <v>2803226467.7953391</v>
      </c>
      <c r="L30" s="32">
        <f>553224853.256799+32762341/3.026+26475306.9/2.693+24863667/2.714</f>
        <v>583044220.17120647</v>
      </c>
      <c r="M30" s="32">
        <f t="shared" si="0"/>
        <v>1058217781.2046609</v>
      </c>
      <c r="N30" s="140" t="s">
        <v>52</v>
      </c>
      <c r="O30" s="197"/>
      <c r="P30" s="8"/>
    </row>
    <row r="31" spans="1:16" s="5" customFormat="1" ht="33.75" customHeight="1" outlineLevel="1" x14ac:dyDescent="0.25">
      <c r="A31" s="312">
        <v>17</v>
      </c>
      <c r="B31" s="344" t="s">
        <v>73</v>
      </c>
      <c r="C31" s="346" t="s">
        <v>74</v>
      </c>
      <c r="D31" s="316" t="s">
        <v>64</v>
      </c>
      <c r="E31" s="318" t="s">
        <v>313</v>
      </c>
      <c r="F31" s="316" t="s">
        <v>75</v>
      </c>
      <c r="G31" s="183" t="s">
        <v>51</v>
      </c>
      <c r="H31" s="32">
        <v>4846628.13</v>
      </c>
      <c r="I31" s="32">
        <v>4737831.22</v>
      </c>
      <c r="J31" s="35">
        <v>7.4999999999999997E-3</v>
      </c>
      <c r="K31" s="32">
        <f>616176.07+18729201/386.44+19508050/402.51</f>
        <v>713108.07074119058</v>
      </c>
      <c r="L31" s="32">
        <f>353441.51+5923430/386.44+6198654/402.51</f>
        <v>384169.71101438778</v>
      </c>
      <c r="M31" s="32">
        <f t="shared" si="0"/>
        <v>4024723.1492588092</v>
      </c>
      <c r="N31" s="140" t="s">
        <v>76</v>
      </c>
      <c r="O31" s="197"/>
      <c r="P31" s="8"/>
    </row>
    <row r="32" spans="1:16" s="5" customFormat="1" ht="41.25" customHeight="1" outlineLevel="1" x14ac:dyDescent="0.25">
      <c r="A32" s="312"/>
      <c r="B32" s="344"/>
      <c r="C32" s="346"/>
      <c r="D32" s="316"/>
      <c r="E32" s="318"/>
      <c r="F32" s="316"/>
      <c r="G32" s="159" t="s">
        <v>2</v>
      </c>
      <c r="H32" s="32">
        <v>1740568345.9000001</v>
      </c>
      <c r="I32" s="32">
        <v>1740568345.9000001</v>
      </c>
      <c r="J32" s="35">
        <v>7.4999999999999997E-3</v>
      </c>
      <c r="K32" s="32">
        <f>247100359+17402579+17402579</f>
        <v>281905517</v>
      </c>
      <c r="L32" s="32">
        <f>128165336.87+5554115.8+5580740.4</f>
        <v>139300193.06999999</v>
      </c>
      <c r="M32" s="32">
        <f t="shared" si="0"/>
        <v>1458662828.9000001</v>
      </c>
      <c r="N32" s="140" t="s">
        <v>76</v>
      </c>
      <c r="O32" s="197"/>
      <c r="P32" s="8"/>
    </row>
    <row r="33" spans="1:17" ht="87" customHeight="1" outlineLevel="1" x14ac:dyDescent="0.25">
      <c r="A33" s="156">
        <v>18</v>
      </c>
      <c r="B33" s="179" t="s">
        <v>77</v>
      </c>
      <c r="C33" s="180" t="s">
        <v>78</v>
      </c>
      <c r="D33" s="159" t="s">
        <v>27</v>
      </c>
      <c r="E33" s="161" t="s">
        <v>314</v>
      </c>
      <c r="F33" s="161" t="s">
        <v>79</v>
      </c>
      <c r="G33" s="183" t="s">
        <v>29</v>
      </c>
      <c r="H33" s="39">
        <v>17895215.550000001</v>
      </c>
      <c r="I33" s="32">
        <v>17895215.550000001</v>
      </c>
      <c r="J33" s="35">
        <v>7.4999999999999997E-3</v>
      </c>
      <c r="K33" s="32">
        <f>7748628.1+130294835.3/415.04+137735052.2/438.74</f>
        <v>8376494.5000054715</v>
      </c>
      <c r="L33" s="32">
        <f>2568161.28+12471869/415.04+3320320/414.34+16171473.8/438.74</f>
        <v>2643083.495521571</v>
      </c>
      <c r="M33" s="32">
        <f t="shared" si="0"/>
        <v>9518721.0499945283</v>
      </c>
      <c r="N33" s="140" t="s">
        <v>52</v>
      </c>
      <c r="O33" s="197"/>
      <c r="P33" s="8"/>
      <c r="Q33" s="5"/>
    </row>
    <row r="34" spans="1:17" ht="40.5" customHeight="1" outlineLevel="1" x14ac:dyDescent="0.25">
      <c r="A34" s="312">
        <v>19</v>
      </c>
      <c r="B34" s="330" t="s">
        <v>80</v>
      </c>
      <c r="C34" s="346" t="s">
        <v>81</v>
      </c>
      <c r="D34" s="346" t="s">
        <v>277</v>
      </c>
      <c r="E34" s="346" t="s">
        <v>315</v>
      </c>
      <c r="F34" s="180" t="s">
        <v>82</v>
      </c>
      <c r="G34" s="183" t="s">
        <v>29</v>
      </c>
      <c r="H34" s="42">
        <v>22000000</v>
      </c>
      <c r="I34" s="32">
        <v>21247150.510000002</v>
      </c>
      <c r="J34" s="181" t="s">
        <v>83</v>
      </c>
      <c r="K34" s="32">
        <f>1047000+1047000+1047000+1047000+1047000+1047000+1047000</f>
        <v>7329000</v>
      </c>
      <c r="L34" s="32">
        <v>2375876.2999999998</v>
      </c>
      <c r="M34" s="32">
        <f>H34-K34</f>
        <v>14671000</v>
      </c>
      <c r="N34" s="322" t="s">
        <v>439</v>
      </c>
      <c r="O34" s="197"/>
      <c r="P34" s="8"/>
      <c r="Q34" s="5"/>
    </row>
    <row r="35" spans="1:17" ht="31.5" customHeight="1" outlineLevel="1" x14ac:dyDescent="0.25">
      <c r="A35" s="312"/>
      <c r="B35" s="352"/>
      <c r="C35" s="346"/>
      <c r="D35" s="346"/>
      <c r="E35" s="346"/>
      <c r="F35" s="180" t="s">
        <v>85</v>
      </c>
      <c r="G35" s="183" t="s">
        <v>29</v>
      </c>
      <c r="H35" s="42">
        <v>14500000</v>
      </c>
      <c r="I35" s="32">
        <v>14491281.059999999</v>
      </c>
      <c r="J35" s="181" t="s">
        <v>30</v>
      </c>
      <c r="K35" s="32">
        <f>241000+241000+241000+241000+241000+241000+241000</f>
        <v>1687000</v>
      </c>
      <c r="L35" s="32">
        <v>628643.69999999995</v>
      </c>
      <c r="M35" s="32">
        <f>H35-K35</f>
        <v>12813000</v>
      </c>
      <c r="N35" s="332"/>
      <c r="O35" s="197"/>
      <c r="P35" s="8"/>
      <c r="Q35" s="5"/>
    </row>
    <row r="36" spans="1:17" ht="42.75" customHeight="1" outlineLevel="1" x14ac:dyDescent="0.25">
      <c r="A36" s="312"/>
      <c r="B36" s="331"/>
      <c r="C36" s="346"/>
      <c r="D36" s="346"/>
      <c r="E36" s="346"/>
      <c r="F36" s="180" t="s">
        <v>86</v>
      </c>
      <c r="G36" s="183" t="s">
        <v>29</v>
      </c>
      <c r="H36" s="42">
        <v>14500000</v>
      </c>
      <c r="I36" s="32">
        <v>14500000.000000002</v>
      </c>
      <c r="J36" s="181" t="s">
        <v>87</v>
      </c>
      <c r="K36" s="32">
        <f>2519999.6+630000+630000+630000</f>
        <v>4409999.5999999996</v>
      </c>
      <c r="L36" s="32">
        <v>2336020</v>
      </c>
      <c r="M36" s="32">
        <f>H36-K36</f>
        <v>10090000.4</v>
      </c>
      <c r="N36" s="314"/>
      <c r="O36" s="197"/>
      <c r="P36" s="8"/>
      <c r="Q36" s="5"/>
    </row>
    <row r="37" spans="1:17" ht="94.5" customHeight="1" outlineLevel="1" x14ac:dyDescent="0.25">
      <c r="A37" s="156">
        <v>20</v>
      </c>
      <c r="B37" s="180" t="s">
        <v>88</v>
      </c>
      <c r="C37" s="179" t="s">
        <v>89</v>
      </c>
      <c r="D37" s="159" t="s">
        <v>69</v>
      </c>
      <c r="E37" s="161" t="s">
        <v>316</v>
      </c>
      <c r="F37" s="159" t="s">
        <v>90</v>
      </c>
      <c r="G37" s="159" t="s">
        <v>71</v>
      </c>
      <c r="H37" s="170">
        <v>26409000000</v>
      </c>
      <c r="I37" s="32">
        <v>26399286331</v>
      </c>
      <c r="J37" s="35">
        <v>7.4999999999999997E-3</v>
      </c>
      <c r="K37" s="32">
        <f>7357230331.16835+1131704010/2.615</f>
        <v>7790004331.1683502</v>
      </c>
      <c r="L37" s="32">
        <f>2607354309.06995+188428717.2/2.615</f>
        <v>2679411179.8921299</v>
      </c>
      <c r="M37" s="168">
        <f t="shared" ref="M37:M45" si="1">I37-K37</f>
        <v>18609281999.83165</v>
      </c>
      <c r="N37" s="140" t="s">
        <v>91</v>
      </c>
      <c r="O37" s="197"/>
      <c r="P37" s="8"/>
      <c r="Q37" s="5"/>
    </row>
    <row r="38" spans="1:17" ht="51.75" customHeight="1" outlineLevel="1" x14ac:dyDescent="0.25">
      <c r="A38" s="156">
        <v>21</v>
      </c>
      <c r="B38" s="179" t="s">
        <v>25</v>
      </c>
      <c r="C38" s="180" t="s">
        <v>92</v>
      </c>
      <c r="D38" s="180" t="s">
        <v>93</v>
      </c>
      <c r="E38" s="161" t="s">
        <v>317</v>
      </c>
      <c r="F38" s="159" t="s">
        <v>94</v>
      </c>
      <c r="G38" s="183" t="s">
        <v>51</v>
      </c>
      <c r="H38" s="32">
        <v>8988290</v>
      </c>
      <c r="I38" s="32">
        <v>8988290</v>
      </c>
      <c r="J38" s="38">
        <v>5.0000000000000001E-3</v>
      </c>
      <c r="K38" s="32">
        <f>4199999.97+600000+600000+289644000/482.74+290820000/484.7+286458000/477.43+600000+600000+231939215.4/394.26</f>
        <v>8988289.9699999988</v>
      </c>
      <c r="L38" s="32">
        <f>838542.942447016+522591.6/394.26</f>
        <v>839868.44237092405</v>
      </c>
      <c r="M38" s="168">
        <f t="shared" si="1"/>
        <v>3.0000001192092896E-2</v>
      </c>
      <c r="N38" s="140" t="s">
        <v>76</v>
      </c>
      <c r="O38" s="197"/>
      <c r="P38" s="8"/>
      <c r="Q38" s="5"/>
    </row>
    <row r="39" spans="1:17" ht="63.75" customHeight="1" outlineLevel="1" x14ac:dyDescent="0.25">
      <c r="A39" s="156">
        <v>22</v>
      </c>
      <c r="B39" s="179" t="s">
        <v>95</v>
      </c>
      <c r="C39" s="180" t="s">
        <v>92</v>
      </c>
      <c r="D39" s="180" t="s">
        <v>96</v>
      </c>
      <c r="E39" s="43" t="s">
        <v>318</v>
      </c>
      <c r="F39" s="32" t="s">
        <v>97</v>
      </c>
      <c r="G39" s="40" t="s">
        <v>2</v>
      </c>
      <c r="H39" s="32">
        <v>1757100000</v>
      </c>
      <c r="I39" s="32">
        <v>1757100000</v>
      </c>
      <c r="J39" s="35">
        <v>7.4999999999999997E-3</v>
      </c>
      <c r="K39" s="32">
        <f>439275000+62753571.5+62753571.5+62753571.3+62753571.4+62753571.4+62753571.4+62753571.5+62753571.5+62753571.5</f>
        <v>1004057142.9999999</v>
      </c>
      <c r="L39" s="32">
        <f>303383430.5+3313904.4+3032802.7</f>
        <v>309730137.59999996</v>
      </c>
      <c r="M39" s="168">
        <f t="shared" si="1"/>
        <v>753042857.00000012</v>
      </c>
      <c r="N39" s="140" t="s">
        <v>76</v>
      </c>
      <c r="O39" s="197"/>
      <c r="P39" s="8"/>
      <c r="Q39" s="5"/>
    </row>
    <row r="40" spans="1:17" ht="63.75" customHeight="1" outlineLevel="1" x14ac:dyDescent="0.25">
      <c r="A40" s="162">
        <v>23</v>
      </c>
      <c r="B40" s="179" t="s">
        <v>95</v>
      </c>
      <c r="C40" s="163" t="s">
        <v>98</v>
      </c>
      <c r="D40" s="180" t="s">
        <v>463</v>
      </c>
      <c r="E40" s="43" t="s">
        <v>319</v>
      </c>
      <c r="F40" s="32" t="s">
        <v>99</v>
      </c>
      <c r="G40" s="40" t="s">
        <v>2</v>
      </c>
      <c r="H40" s="32">
        <v>18700000000</v>
      </c>
      <c r="I40" s="32">
        <v>18700000000</v>
      </c>
      <c r="J40" s="166">
        <v>7.4999999999999997E-2</v>
      </c>
      <c r="K40" s="32">
        <f>890476190.5+890476190.5+890476190.5+890476190.5</f>
        <v>3561904762</v>
      </c>
      <c r="L40" s="32">
        <f>1333335616.4+703171232.9+699328767.1+670052837.5+632909002+602718199.6</f>
        <v>4641515655.5</v>
      </c>
      <c r="M40" s="168">
        <f t="shared" si="1"/>
        <v>15138095238</v>
      </c>
      <c r="N40" s="140" t="s">
        <v>76</v>
      </c>
      <c r="O40" s="197"/>
      <c r="P40" s="8"/>
      <c r="Q40" s="5"/>
    </row>
    <row r="41" spans="1:17" ht="63.75" customHeight="1" outlineLevel="1" x14ac:dyDescent="0.25">
      <c r="A41" s="162">
        <v>24</v>
      </c>
      <c r="B41" s="179" t="s">
        <v>95</v>
      </c>
      <c r="C41" s="163" t="s">
        <v>278</v>
      </c>
      <c r="D41" s="180" t="s">
        <v>463</v>
      </c>
      <c r="E41" s="44"/>
      <c r="F41" s="32" t="s">
        <v>265</v>
      </c>
      <c r="G41" s="40" t="s">
        <v>2</v>
      </c>
      <c r="H41" s="32">
        <v>25000000000</v>
      </c>
      <c r="I41" s="32">
        <v>25000000000</v>
      </c>
      <c r="J41" s="166">
        <v>0.09</v>
      </c>
      <c r="K41" s="32">
        <f>1190476190.4+1190476190.5</f>
        <v>2380952380.9000001</v>
      </c>
      <c r="L41" s="32">
        <f>1171232876.7+1121917808.3+1128082191.8+1121917808.2+1074363992.2</f>
        <v>5617514677.1999998</v>
      </c>
      <c r="M41" s="168">
        <f t="shared" si="1"/>
        <v>22619047619.099998</v>
      </c>
      <c r="N41" s="140" t="s">
        <v>76</v>
      </c>
      <c r="O41" s="197"/>
      <c r="P41" s="8"/>
      <c r="Q41" s="5"/>
    </row>
    <row r="42" spans="1:17" ht="57.75" customHeight="1" outlineLevel="1" x14ac:dyDescent="0.25">
      <c r="A42" s="321">
        <v>25</v>
      </c>
      <c r="B42" s="330" t="s">
        <v>95</v>
      </c>
      <c r="C42" s="322" t="s">
        <v>100</v>
      </c>
      <c r="D42" s="159" t="s">
        <v>472</v>
      </c>
      <c r="E42" s="323" t="s">
        <v>321</v>
      </c>
      <c r="F42" s="348" t="s">
        <v>102</v>
      </c>
      <c r="G42" s="183" t="s">
        <v>51</v>
      </c>
      <c r="H42" s="36">
        <v>270000000</v>
      </c>
      <c r="I42" s="32">
        <v>173574580.28</v>
      </c>
      <c r="J42" s="350">
        <v>0.03</v>
      </c>
      <c r="K42" s="32">
        <f>51199088.7002228+3370009369.8/394.93+3295429324.9/386.19+3461143748.2/405.61</f>
        <v>76798633.100286514</v>
      </c>
      <c r="L42" s="32">
        <f>20309911.275649+723428666.7/394.93+646453366.1/386.19+636850451.3/405.61</f>
        <v>25385731.975636914</v>
      </c>
      <c r="M42" s="168">
        <f t="shared" si="1"/>
        <v>96775947.179713488</v>
      </c>
      <c r="N42" s="319" t="s">
        <v>84</v>
      </c>
      <c r="O42" s="197"/>
      <c r="P42" s="8"/>
      <c r="Q42" s="5"/>
    </row>
    <row r="43" spans="1:17" ht="57.75" customHeight="1" outlineLevel="1" x14ac:dyDescent="0.25">
      <c r="A43" s="311"/>
      <c r="B43" s="331"/>
      <c r="C43" s="314"/>
      <c r="D43" s="180" t="s">
        <v>463</v>
      </c>
      <c r="E43" s="317"/>
      <c r="F43" s="349"/>
      <c r="G43" s="40" t="s">
        <v>2</v>
      </c>
      <c r="H43" s="37">
        <v>1265847400</v>
      </c>
      <c r="I43" s="32">
        <f>9509488626+108542329</f>
        <v>9618030955</v>
      </c>
      <c r="J43" s="351"/>
      <c r="K43" s="32">
        <f>2858334735.47632+482835444.3+482835444.2+482835444.3</f>
        <v>4306841068.2763195</v>
      </c>
      <c r="L43" s="32">
        <f>1045375895.11175+103648675.3+94716219.7+88841721.7</f>
        <v>1332582511.8117502</v>
      </c>
      <c r="M43" s="168">
        <f t="shared" si="1"/>
        <v>5311189886.7236805</v>
      </c>
      <c r="N43" s="320"/>
      <c r="O43" s="197"/>
      <c r="P43" s="8"/>
      <c r="Q43" s="5"/>
    </row>
    <row r="44" spans="1:17" ht="57.75" customHeight="1" outlineLevel="1" x14ac:dyDescent="0.25">
      <c r="A44" s="156">
        <v>26</v>
      </c>
      <c r="B44" s="179" t="s">
        <v>95</v>
      </c>
      <c r="C44" s="180" t="s">
        <v>103</v>
      </c>
      <c r="D44" s="316" t="s">
        <v>49</v>
      </c>
      <c r="E44" s="160" t="s">
        <v>322</v>
      </c>
      <c r="F44" s="185" t="s">
        <v>104</v>
      </c>
      <c r="G44" s="31" t="s">
        <v>51</v>
      </c>
      <c r="H44" s="36">
        <v>8907500</v>
      </c>
      <c r="I44" s="32">
        <v>8907384.7100000009</v>
      </c>
      <c r="J44" s="325" t="s">
        <v>368</v>
      </c>
      <c r="K44" s="32"/>
      <c r="L44" s="32">
        <f>1241236.45+96159781.6/386.38+118034920.8/403.19</f>
        <v>1782862.6500977012</v>
      </c>
      <c r="M44" s="177">
        <f t="shared" si="1"/>
        <v>8907384.7100000009</v>
      </c>
      <c r="N44" s="187" t="s">
        <v>105</v>
      </c>
      <c r="O44" s="197"/>
      <c r="P44" s="8"/>
      <c r="Q44" s="5"/>
    </row>
    <row r="45" spans="1:17" ht="78.75" customHeight="1" outlineLevel="1" thickBot="1" x14ac:dyDescent="0.3">
      <c r="A45" s="156">
        <v>27</v>
      </c>
      <c r="B45" s="157" t="s">
        <v>88</v>
      </c>
      <c r="C45" s="173" t="s">
        <v>103</v>
      </c>
      <c r="D45" s="316"/>
      <c r="E45" s="160" t="s">
        <v>323</v>
      </c>
      <c r="F45" s="51" t="s">
        <v>104</v>
      </c>
      <c r="G45" s="49" t="s">
        <v>51</v>
      </c>
      <c r="H45" s="52">
        <v>21092500</v>
      </c>
      <c r="I45" s="32">
        <v>21092210.790000003</v>
      </c>
      <c r="J45" s="358"/>
      <c r="K45" s="32"/>
      <c r="L45" s="32">
        <f>3081286.01+227668040/386.38+279535083/403.19</f>
        <v>4363828.0823399555</v>
      </c>
      <c r="M45" s="176">
        <f t="shared" si="1"/>
        <v>21092210.790000003</v>
      </c>
      <c r="N45" s="187" t="s">
        <v>106</v>
      </c>
      <c r="O45" s="196"/>
      <c r="P45" s="8"/>
      <c r="Q45" s="5"/>
    </row>
    <row r="46" spans="1:17" s="9" customFormat="1" ht="15" customHeight="1" x14ac:dyDescent="0.25">
      <c r="A46" s="359" t="s">
        <v>115</v>
      </c>
      <c r="B46" s="360"/>
      <c r="C46" s="360"/>
      <c r="D46" s="363" t="s">
        <v>29</v>
      </c>
      <c r="E46" s="363"/>
      <c r="F46" s="363"/>
      <c r="G46" s="53"/>
      <c r="H46" s="10">
        <f>SUMIF($G$5:$G$45,D46,$H$5:$H$45)</f>
        <v>275755742.28000003</v>
      </c>
      <c r="I46" s="10">
        <f>SUMIF($G$5:$G$45,D46,$I$5:$I$45)</f>
        <v>97929055.540000007</v>
      </c>
      <c r="J46" s="10"/>
      <c r="K46" s="10">
        <f>SUMIF($G$5:$G$45,D46,$K$5:$K$45)</f>
        <v>37018590.7398488</v>
      </c>
      <c r="L46" s="10">
        <f>SUMIF($G$5:$G$45,D46,$L$5:$L$45)</f>
        <v>16520985.737643212</v>
      </c>
      <c r="M46" s="10">
        <f>SUMIF($G$5:$G$45,D46,$M$5:$M$45)</f>
        <v>61672033.230151191</v>
      </c>
      <c r="N46" s="147"/>
      <c r="O46" s="193"/>
      <c r="P46" s="8"/>
      <c r="Q46" s="5"/>
    </row>
    <row r="47" spans="1:17" s="9" customFormat="1" ht="15" customHeight="1" x14ac:dyDescent="0.25">
      <c r="A47" s="361"/>
      <c r="B47" s="362"/>
      <c r="C47" s="362"/>
      <c r="D47" s="364" t="s">
        <v>2</v>
      </c>
      <c r="E47" s="364"/>
      <c r="F47" s="364"/>
      <c r="G47" s="54"/>
      <c r="H47" s="11">
        <f>SUMIF($G$5:$G$45,D47,$H$5:$H$45)</f>
        <v>48463515745.900002</v>
      </c>
      <c r="I47" s="11">
        <f>SUMIF($G$5:$G$45,D47,$I$5:$I$45)</f>
        <v>67414527580</v>
      </c>
      <c r="J47" s="11"/>
      <c r="K47" s="11">
        <f>SUMIF($G$5:$G$45,D47,$K$5:$K$45)</f>
        <v>12692014082.47632</v>
      </c>
      <c r="L47" s="11">
        <f>SUMIF($G$5:$G$45,D47,$L$5:$L$45)</f>
        <v>14090249426.22175</v>
      </c>
      <c r="M47" s="11">
        <f>SUMIF($G$5:$G$45,D47,$M$5:$M$45)</f>
        <v>54722513497.523682</v>
      </c>
      <c r="N47" s="148"/>
      <c r="O47" s="197"/>
      <c r="P47" s="8"/>
      <c r="Q47" s="5"/>
    </row>
    <row r="48" spans="1:17" s="9" customFormat="1" ht="15" customHeight="1" x14ac:dyDescent="0.25">
      <c r="A48" s="361"/>
      <c r="B48" s="362"/>
      <c r="C48" s="362"/>
      <c r="D48" s="364" t="s">
        <v>51</v>
      </c>
      <c r="E48" s="364"/>
      <c r="F48" s="364"/>
      <c r="G48" s="54"/>
      <c r="H48" s="11">
        <f>SUMIF($G$5:$G$45,D48,$H$5:$H$45)</f>
        <v>443654882.94000006</v>
      </c>
      <c r="I48" s="11">
        <f>SUMIF($G$5:$G$45,D48,$I$5:$I$45)</f>
        <v>327505674.97000003</v>
      </c>
      <c r="J48" s="11"/>
      <c r="K48" s="11">
        <f>SUMIF($G$5:$G$45,D48,$K$5:$K$45)</f>
        <v>104132340.85582891</v>
      </c>
      <c r="L48" s="11">
        <f>SUMIF($G$5:$G$45,D48,$L$5:$L$45)</f>
        <v>53494961.563411839</v>
      </c>
      <c r="M48" s="11">
        <f>SUMIF($G$5:$G$45,D48,$M$5:$M$45)</f>
        <v>223373334.11417109</v>
      </c>
      <c r="N48" s="148"/>
      <c r="O48" s="197"/>
      <c r="P48" s="8"/>
      <c r="Q48" s="5"/>
    </row>
    <row r="49" spans="1:17" s="9" customFormat="1" ht="15" customHeight="1" x14ac:dyDescent="0.25">
      <c r="A49" s="361"/>
      <c r="B49" s="362"/>
      <c r="C49" s="362"/>
      <c r="D49" s="365" t="s">
        <v>71</v>
      </c>
      <c r="E49" s="365"/>
      <c r="F49" s="365"/>
      <c r="G49" s="55"/>
      <c r="H49" s="56">
        <f>SUMIF($G$5:$G$45,D49,$H$5:$H$45)</f>
        <v>31777311969</v>
      </c>
      <c r="I49" s="56">
        <f>SUMIF($G$5:$G$45,D49,$I$5:$I$45)</f>
        <v>31859249643</v>
      </c>
      <c r="J49" s="56"/>
      <c r="K49" s="56">
        <f>SUMIF($G$5:$G$45,D49,$K$5:$K$45)</f>
        <v>11745743548.709158</v>
      </c>
      <c r="L49" s="56">
        <f>SUMIF($G$5:$G$45,D49,$L$5:$L$45)</f>
        <v>3501920555.228754</v>
      </c>
      <c r="M49" s="56">
        <f>SUMIF($G$5:$G$45,D49,$M$5:$M$45)</f>
        <v>20113506094.29084</v>
      </c>
      <c r="N49" s="149"/>
      <c r="O49" s="199"/>
      <c r="P49" s="8"/>
      <c r="Q49" s="5"/>
    </row>
    <row r="50" spans="1:17" s="9" customFormat="1" ht="15" customHeight="1" thickBot="1" x14ac:dyDescent="0.3">
      <c r="A50" s="361"/>
      <c r="B50" s="362"/>
      <c r="C50" s="362"/>
      <c r="D50" s="366" t="s">
        <v>61</v>
      </c>
      <c r="E50" s="367"/>
      <c r="F50" s="368"/>
      <c r="G50" s="57"/>
      <c r="H50" s="12">
        <f>SUMIF($G$5:$G$45,D50,$H$5:$H$45)</f>
        <v>24086688</v>
      </c>
      <c r="I50" s="12">
        <f>SUMIF($G$5:$G$45,D50,$I$5:$I$45)</f>
        <v>18384172.012149811</v>
      </c>
      <c r="J50" s="12"/>
      <c r="K50" s="12">
        <f>SUMIF($G$5:$G$45,D50,$K$5:$K$45)</f>
        <v>3889303.4021576373</v>
      </c>
      <c r="L50" s="12">
        <f>SUMIF($G$5:$G$45,D50,$L$5:$L$45)</f>
        <v>2687639.4595199237</v>
      </c>
      <c r="M50" s="12">
        <f>SUMIF($G$5:$G$45,D50,$M$5:$M$45)</f>
        <v>14494868.609992173</v>
      </c>
      <c r="N50" s="150"/>
      <c r="O50" s="196"/>
      <c r="P50" s="8"/>
      <c r="Q50" s="5"/>
    </row>
    <row r="51" spans="1:17" ht="78" customHeight="1" outlineLevel="1" x14ac:dyDescent="0.25">
      <c r="A51" s="155">
        <v>28</v>
      </c>
      <c r="B51" s="172" t="s">
        <v>116</v>
      </c>
      <c r="C51" s="157" t="s">
        <v>117</v>
      </c>
      <c r="D51" s="158" t="s">
        <v>118</v>
      </c>
      <c r="E51" s="160" t="s">
        <v>324</v>
      </c>
      <c r="F51" s="160" t="s">
        <v>119</v>
      </c>
      <c r="G51" s="31" t="s">
        <v>29</v>
      </c>
      <c r="H51" s="185">
        <v>5000000</v>
      </c>
      <c r="I51" s="185">
        <v>5000000</v>
      </c>
      <c r="J51" s="167" t="s">
        <v>120</v>
      </c>
      <c r="K51" s="185">
        <f>4166666.69+208333.33+88124985.9/423</f>
        <v>4583333.3199999994</v>
      </c>
      <c r="L51" s="185">
        <f>553011.29+6019459.2/423</f>
        <v>567241.69000000006</v>
      </c>
      <c r="M51" s="185">
        <f t="shared" ref="M51:M56" si="2">I51-K51</f>
        <v>416666.68000000063</v>
      </c>
      <c r="N51" s="189" t="s">
        <v>76</v>
      </c>
      <c r="O51" s="193"/>
      <c r="Q51" s="5"/>
    </row>
    <row r="52" spans="1:17" ht="71.25" customHeight="1" outlineLevel="1" x14ac:dyDescent="0.25">
      <c r="A52" s="162">
        <v>29</v>
      </c>
      <c r="B52" s="330" t="s">
        <v>121</v>
      </c>
      <c r="C52" s="163" t="s">
        <v>122</v>
      </c>
      <c r="D52" s="165" t="s">
        <v>118</v>
      </c>
      <c r="E52" s="164" t="s">
        <v>325</v>
      </c>
      <c r="F52" s="164" t="s">
        <v>123</v>
      </c>
      <c r="G52" s="183" t="s">
        <v>29</v>
      </c>
      <c r="H52" s="32">
        <v>5000000</v>
      </c>
      <c r="I52" s="32">
        <v>5000000</v>
      </c>
      <c r="J52" s="166" t="s">
        <v>120</v>
      </c>
      <c r="K52" s="32">
        <f>3125000+208333.33+88124985.9/423</f>
        <v>3541666.63</v>
      </c>
      <c r="L52" s="32">
        <f>320254.8+16091046.9/423</f>
        <v>358295.1</v>
      </c>
      <c r="M52" s="32">
        <f t="shared" si="2"/>
        <v>1458333.37</v>
      </c>
      <c r="N52" s="322" t="s">
        <v>76</v>
      </c>
      <c r="O52" s="197"/>
      <c r="Q52" s="5"/>
    </row>
    <row r="53" spans="1:17" ht="71.25" customHeight="1" outlineLevel="1" x14ac:dyDescent="0.25">
      <c r="A53" s="162">
        <v>30</v>
      </c>
      <c r="B53" s="331"/>
      <c r="C53" s="163"/>
      <c r="D53" s="165" t="s">
        <v>463</v>
      </c>
      <c r="E53" s="164"/>
      <c r="F53" s="164"/>
      <c r="G53" s="47" t="s">
        <v>2</v>
      </c>
      <c r="H53" s="32"/>
      <c r="I53" s="32">
        <v>66094595</v>
      </c>
      <c r="J53" s="166"/>
      <c r="K53" s="32">
        <f>6609471.44+6609433.4+6609473.7</f>
        <v>19828378.539999999</v>
      </c>
      <c r="L53" s="32">
        <f>1088882.59773529+1190830.4</f>
        <v>2279712.9977352899</v>
      </c>
      <c r="M53" s="32">
        <f t="shared" si="2"/>
        <v>46266216.460000001</v>
      </c>
      <c r="N53" s="314"/>
      <c r="O53" s="197"/>
      <c r="Q53" s="5"/>
    </row>
    <row r="54" spans="1:17" ht="55.5" customHeight="1" outlineLevel="1" x14ac:dyDescent="0.25">
      <c r="A54" s="156">
        <v>31</v>
      </c>
      <c r="B54" s="179" t="s">
        <v>124</v>
      </c>
      <c r="C54" s="180" t="s">
        <v>125</v>
      </c>
      <c r="D54" s="159" t="s">
        <v>126</v>
      </c>
      <c r="E54" s="161" t="s">
        <v>326</v>
      </c>
      <c r="F54" s="161" t="s">
        <v>127</v>
      </c>
      <c r="G54" s="183" t="s">
        <v>29</v>
      </c>
      <c r="H54" s="32">
        <v>5000000</v>
      </c>
      <c r="I54" s="32">
        <v>5000000</v>
      </c>
      <c r="J54" s="35" t="s">
        <v>120</v>
      </c>
      <c r="K54" s="32">
        <f>3227272.74+97124988.4/427.35+96136352.1/423</f>
        <v>3681818.1401287005</v>
      </c>
      <c r="L54" s="32">
        <v>475298.33641151118</v>
      </c>
      <c r="M54" s="32">
        <f t="shared" si="2"/>
        <v>1318181.8598712995</v>
      </c>
      <c r="N54" s="140" t="s">
        <v>76</v>
      </c>
      <c r="O54" s="197"/>
      <c r="Q54" s="5"/>
    </row>
    <row r="55" spans="1:17" ht="57" customHeight="1" outlineLevel="1" x14ac:dyDescent="0.25">
      <c r="A55" s="321">
        <v>32</v>
      </c>
      <c r="B55" s="330" t="s">
        <v>128</v>
      </c>
      <c r="C55" s="322" t="s">
        <v>129</v>
      </c>
      <c r="D55" s="165" t="s">
        <v>126</v>
      </c>
      <c r="E55" s="164" t="s">
        <v>327</v>
      </c>
      <c r="F55" s="164" t="s">
        <v>130</v>
      </c>
      <c r="G55" s="47" t="s">
        <v>29</v>
      </c>
      <c r="H55" s="184">
        <v>5000000</v>
      </c>
      <c r="I55" s="32">
        <v>3000000</v>
      </c>
      <c r="J55" s="45" t="s">
        <v>279</v>
      </c>
      <c r="K55" s="32">
        <f>676724.137931034+46797420.6/423</f>
        <v>787356.33793103392</v>
      </c>
      <c r="L55" s="32">
        <f>222742.9+6254858.7/423</f>
        <v>237529.8</v>
      </c>
      <c r="M55" s="184">
        <f t="shared" si="2"/>
        <v>2212643.6620689658</v>
      </c>
      <c r="N55" s="319" t="s">
        <v>76</v>
      </c>
      <c r="O55" s="197"/>
      <c r="Q55" s="5"/>
    </row>
    <row r="56" spans="1:17" ht="57" customHeight="1" outlineLevel="1" thickBot="1" x14ac:dyDescent="0.3">
      <c r="A56" s="354"/>
      <c r="B56" s="355"/>
      <c r="C56" s="356"/>
      <c r="D56" s="165" t="s">
        <v>463</v>
      </c>
      <c r="E56" s="164" t="s">
        <v>327</v>
      </c>
      <c r="F56" s="164" t="s">
        <v>266</v>
      </c>
      <c r="G56" s="47" t="s">
        <v>2</v>
      </c>
      <c r="H56" s="184"/>
      <c r="I56" s="32">
        <v>69055257.109999999</v>
      </c>
      <c r="J56" s="45">
        <v>1.404E-2</v>
      </c>
      <c r="K56" s="32">
        <f>9751561.92837819+3148517</f>
        <v>12900078.928378191</v>
      </c>
      <c r="L56" s="32">
        <f>1328413.8+491137.6</f>
        <v>1819551.4</v>
      </c>
      <c r="M56" s="184">
        <f t="shared" si="2"/>
        <v>56155178.181621805</v>
      </c>
      <c r="N56" s="357"/>
      <c r="O56" s="196"/>
      <c r="Q56" s="5"/>
    </row>
    <row r="57" spans="1:17" s="9" customFormat="1" ht="15" customHeight="1" x14ac:dyDescent="0.25">
      <c r="A57" s="359" t="s">
        <v>131</v>
      </c>
      <c r="B57" s="360"/>
      <c r="C57" s="360"/>
      <c r="D57" s="363" t="s">
        <v>29</v>
      </c>
      <c r="E57" s="363"/>
      <c r="F57" s="363"/>
      <c r="G57" s="53"/>
      <c r="H57" s="10">
        <f>SUMIF($G$51:$G$56,D57,$H$51:$H$56)</f>
        <v>20000000</v>
      </c>
      <c r="I57" s="10">
        <f>SUMIF($G$51:$G$56,D57,$I$51:$I$56)</f>
        <v>18000000</v>
      </c>
      <c r="J57" s="13"/>
      <c r="K57" s="10">
        <f>SUMIF($G$51:$G$56,D57,$K$51:$K$56)</f>
        <v>12594174.428059733</v>
      </c>
      <c r="L57" s="10">
        <f>SUMIF($G$51:$G$56,D57,$L$51:$L$56)</f>
        <v>1638364.9264115111</v>
      </c>
      <c r="M57" s="10">
        <f>SUMIF($G$51:$G$56,D57,$M$51:$M$56)</f>
        <v>5405825.5719402656</v>
      </c>
      <c r="N57" s="147"/>
      <c r="O57" s="193"/>
      <c r="P57" s="8"/>
      <c r="Q57" s="5"/>
    </row>
    <row r="58" spans="1:17" s="9" customFormat="1" ht="15" customHeight="1" x14ac:dyDescent="0.25">
      <c r="A58" s="361"/>
      <c r="B58" s="362"/>
      <c r="C58" s="362"/>
      <c r="D58" s="364" t="s">
        <v>2</v>
      </c>
      <c r="E58" s="364"/>
      <c r="F58" s="364"/>
      <c r="G58" s="54"/>
      <c r="H58" s="11">
        <f>SUMIF($G$51:$G$56,D58,$H$51:$H$56)</f>
        <v>0</v>
      </c>
      <c r="I58" s="11">
        <f>SUMIF($G$51:$G$56,D58,$I$51:$I$56)</f>
        <v>135149852.11000001</v>
      </c>
      <c r="J58" s="11"/>
      <c r="K58" s="11">
        <f>SUMIF($G$51:$G$56,D58,$K$51:$K$56)</f>
        <v>32728457.46837819</v>
      </c>
      <c r="L58" s="11">
        <f>SUMIF($G$51:$G$56,D58,$L$51:$L$56)</f>
        <v>4099264.3977352898</v>
      </c>
      <c r="M58" s="11">
        <f>SUMIF($G$51:$G$56,D58,$M$51:$M$56)</f>
        <v>102421394.6416218</v>
      </c>
      <c r="N58" s="148"/>
      <c r="O58" s="197"/>
      <c r="P58" s="8"/>
      <c r="Q58" s="5"/>
    </row>
    <row r="59" spans="1:17" s="9" customFormat="1" ht="15" customHeight="1" x14ac:dyDescent="0.25">
      <c r="A59" s="361"/>
      <c r="B59" s="362"/>
      <c r="C59" s="362"/>
      <c r="D59" s="364" t="s">
        <v>51</v>
      </c>
      <c r="E59" s="364"/>
      <c r="F59" s="364"/>
      <c r="G59" s="54"/>
      <c r="H59" s="11">
        <f>SUMIF($G$51:$G$56,D59,$H$51:$H$56)</f>
        <v>0</v>
      </c>
      <c r="I59" s="11">
        <f>SUMIF($G$51:$G$56,D59,$I$51:$I$56)</f>
        <v>0</v>
      </c>
      <c r="J59" s="11"/>
      <c r="K59" s="11">
        <f>SUMIF($G$51:$G$56,D59,$K$51:$K$56)</f>
        <v>0</v>
      </c>
      <c r="L59" s="11">
        <f>SUMIF($G$51:$G$56,D59,$L$51:$L$56)</f>
        <v>0</v>
      </c>
      <c r="M59" s="11">
        <f>SUMIF($G$51:$G$56,D59,$M$51:$M$56)</f>
        <v>0</v>
      </c>
      <c r="N59" s="148"/>
      <c r="O59" s="197"/>
      <c r="P59" s="8"/>
      <c r="Q59" s="5"/>
    </row>
    <row r="60" spans="1:17" s="9" customFormat="1" ht="15" customHeight="1" thickBot="1" x14ac:dyDescent="0.3">
      <c r="A60" s="369"/>
      <c r="B60" s="370"/>
      <c r="C60" s="370"/>
      <c r="D60" s="371" t="s">
        <v>71</v>
      </c>
      <c r="E60" s="371"/>
      <c r="F60" s="371"/>
      <c r="G60" s="57"/>
      <c r="H60" s="12">
        <f>SUMIF($G$51:$G$56,D60,$H$51:$H$56)</f>
        <v>0</v>
      </c>
      <c r="I60" s="12">
        <f>SUMIF($G$51:$G$56,D60,$I$51:$I$56)</f>
        <v>0</v>
      </c>
      <c r="J60" s="12"/>
      <c r="K60" s="12">
        <f>SUMIF($G$51:$G$56,D60,$K$51:$K$56)</f>
        <v>0</v>
      </c>
      <c r="L60" s="12">
        <f>SUMIF($G$51:$G$56,D60,$L$51:$L$56)</f>
        <v>0</v>
      </c>
      <c r="M60" s="12">
        <f>SUMIF($G$51:$G$56,D60,$M$51:$M$56)</f>
        <v>0</v>
      </c>
      <c r="N60" s="150"/>
      <c r="O60" s="196"/>
      <c r="P60" s="8"/>
      <c r="Q60" s="5"/>
    </row>
    <row r="61" spans="1:17" s="2" customFormat="1" ht="91.5" customHeight="1" outlineLevel="1" x14ac:dyDescent="0.25">
      <c r="A61" s="156">
        <v>33</v>
      </c>
      <c r="B61" s="180" t="s">
        <v>132</v>
      </c>
      <c r="C61" s="180" t="s">
        <v>133</v>
      </c>
      <c r="D61" s="180" t="s">
        <v>473</v>
      </c>
      <c r="E61" s="58" t="s">
        <v>328</v>
      </c>
      <c r="F61" s="180" t="s">
        <v>134</v>
      </c>
      <c r="G61" s="180" t="s">
        <v>2</v>
      </c>
      <c r="H61" s="32">
        <v>74000000000</v>
      </c>
      <c r="I61" s="32">
        <v>74000000000</v>
      </c>
      <c r="J61" s="35" t="s">
        <v>135</v>
      </c>
      <c r="K61" s="32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L61" s="32">
        <f>27971909177.5+338144.2+498915.4</f>
        <v>27972746237.100002</v>
      </c>
      <c r="M61" s="168">
        <f>I61-K61</f>
        <v>8809523809.2999802</v>
      </c>
      <c r="N61" s="140" t="s">
        <v>76</v>
      </c>
      <c r="O61" s="200" t="s">
        <v>474</v>
      </c>
      <c r="P61" s="1"/>
      <c r="Q61" s="5"/>
    </row>
    <row r="62" spans="1:17" s="2" customFormat="1" ht="91.5" customHeight="1" outlineLevel="1" x14ac:dyDescent="0.25">
      <c r="A62" s="156">
        <v>34</v>
      </c>
      <c r="B62" s="180" t="s">
        <v>132</v>
      </c>
      <c r="C62" s="180" t="s">
        <v>136</v>
      </c>
      <c r="D62" s="180" t="s">
        <v>27</v>
      </c>
      <c r="E62" s="58" t="s">
        <v>329</v>
      </c>
      <c r="F62" s="180" t="s">
        <v>137</v>
      </c>
      <c r="G62" s="180" t="s">
        <v>2</v>
      </c>
      <c r="H62" s="32">
        <v>2035890300</v>
      </c>
      <c r="I62" s="32">
        <v>2035890300</v>
      </c>
      <c r="J62" s="35" t="s">
        <v>44</v>
      </c>
      <c r="K62" s="32">
        <v>0</v>
      </c>
      <c r="L62" s="32">
        <v>0</v>
      </c>
      <c r="M62" s="168">
        <f t="shared" ref="M62:M67" si="3">I62-K62</f>
        <v>2035890300</v>
      </c>
      <c r="N62" s="140" t="s">
        <v>76</v>
      </c>
      <c r="O62" s="197"/>
      <c r="P62" s="1"/>
      <c r="Q62" s="5"/>
    </row>
    <row r="63" spans="1:17" ht="121.5" outlineLevel="1" x14ac:dyDescent="0.25">
      <c r="A63" s="155">
        <v>35</v>
      </c>
      <c r="B63" s="179" t="s">
        <v>138</v>
      </c>
      <c r="C63" s="180" t="s">
        <v>139</v>
      </c>
      <c r="D63" s="159" t="s">
        <v>27</v>
      </c>
      <c r="E63" s="161" t="s">
        <v>330</v>
      </c>
      <c r="F63" s="159" t="s">
        <v>140</v>
      </c>
      <c r="G63" s="183" t="s">
        <v>29</v>
      </c>
      <c r="H63" s="32">
        <v>3500000</v>
      </c>
      <c r="I63" s="32">
        <v>3500000</v>
      </c>
      <c r="J63" s="35">
        <v>7.4999999999999997E-3</v>
      </c>
      <c r="K63" s="32">
        <f>696000+31440060/542.07+58000+24255020/418.19+24400600/420.7+25920780/446.91</f>
        <v>986000</v>
      </c>
      <c r="L63" s="32">
        <f>399592.922231146+10515+10297.5+4215355.2/418.19+4149153.8/420.7+4310447/446.91</f>
        <v>449992.92246187496</v>
      </c>
      <c r="M63" s="168">
        <f t="shared" si="3"/>
        <v>2514000</v>
      </c>
      <c r="N63" s="140" t="s">
        <v>76</v>
      </c>
      <c r="O63" s="197"/>
      <c r="Q63" s="5"/>
    </row>
    <row r="64" spans="1:17" ht="69" customHeight="1" outlineLevel="1" x14ac:dyDescent="0.25">
      <c r="A64" s="156">
        <v>36</v>
      </c>
      <c r="B64" s="179" t="s">
        <v>141</v>
      </c>
      <c r="C64" s="180" t="s">
        <v>142</v>
      </c>
      <c r="D64" s="180" t="s">
        <v>143</v>
      </c>
      <c r="E64" s="169" t="s">
        <v>331</v>
      </c>
      <c r="F64" s="159" t="s">
        <v>144</v>
      </c>
      <c r="G64" s="183" t="s">
        <v>51</v>
      </c>
      <c r="H64" s="168">
        <v>1689937.9</v>
      </c>
      <c r="I64" s="32">
        <v>1689937.9</v>
      </c>
      <c r="J64" s="181">
        <v>5.9900000000000002E-2</v>
      </c>
      <c r="K64" s="32">
        <f>872805.23+28165+28165</f>
        <v>929135.23</v>
      </c>
      <c r="L64" s="32">
        <f>1964862.47+25588.58+24871.58</f>
        <v>2015322.6300000001</v>
      </c>
      <c r="M64" s="168">
        <f t="shared" si="3"/>
        <v>760802.66999999993</v>
      </c>
      <c r="N64" s="142" t="s">
        <v>76</v>
      </c>
      <c r="O64" s="197"/>
      <c r="Q64" s="5"/>
    </row>
    <row r="65" spans="1:17" ht="69.75" customHeight="1" outlineLevel="1" x14ac:dyDescent="0.25">
      <c r="A65" s="155">
        <v>37</v>
      </c>
      <c r="B65" s="179" t="s">
        <v>145</v>
      </c>
      <c r="C65" s="180" t="s">
        <v>146</v>
      </c>
      <c r="D65" s="180" t="s">
        <v>143</v>
      </c>
      <c r="E65" s="169" t="s">
        <v>332</v>
      </c>
      <c r="F65" s="159" t="s">
        <v>147</v>
      </c>
      <c r="G65" s="183" t="s">
        <v>51</v>
      </c>
      <c r="H65" s="168">
        <v>2828000</v>
      </c>
      <c r="I65" s="32">
        <v>2828000</v>
      </c>
      <c r="J65" s="181">
        <v>5.9900000000000002E-2</v>
      </c>
      <c r="K65" s="168">
        <f>1128831.5+47000</f>
        <v>1175831.5</v>
      </c>
      <c r="L65" s="32">
        <f>1731608.85+50775.51</f>
        <v>1782384.36</v>
      </c>
      <c r="M65" s="168">
        <f t="shared" si="3"/>
        <v>1652168.5</v>
      </c>
      <c r="N65" s="142" t="s">
        <v>76</v>
      </c>
      <c r="O65" s="197"/>
      <c r="Q65" s="5"/>
    </row>
    <row r="66" spans="1:17" s="4" customFormat="1" ht="177" customHeight="1" outlineLevel="1" x14ac:dyDescent="0.25">
      <c r="A66" s="156">
        <v>38</v>
      </c>
      <c r="B66" s="179" t="s">
        <v>148</v>
      </c>
      <c r="C66" s="180" t="s">
        <v>149</v>
      </c>
      <c r="D66" s="180" t="s">
        <v>143</v>
      </c>
      <c r="E66" s="159" t="s">
        <v>333</v>
      </c>
      <c r="F66" s="159" t="s">
        <v>150</v>
      </c>
      <c r="G66" s="180" t="s">
        <v>2</v>
      </c>
      <c r="H66" s="60">
        <v>2092000000</v>
      </c>
      <c r="I66" s="32">
        <v>2092000000</v>
      </c>
      <c r="J66" s="61">
        <v>0.02</v>
      </c>
      <c r="K66" s="32">
        <f>354576270+35457627.1+35457627+35457627</f>
        <v>460949151.10000002</v>
      </c>
      <c r="L66" s="32">
        <f>426427783.87+17517039.3+16879773.4+16802058.1</f>
        <v>477626654.67000002</v>
      </c>
      <c r="M66" s="168">
        <f t="shared" si="3"/>
        <v>1631050848.9000001</v>
      </c>
      <c r="N66" s="142" t="s">
        <v>76</v>
      </c>
      <c r="O66" s="197"/>
      <c r="P66" s="3"/>
      <c r="Q66" s="5"/>
    </row>
    <row r="67" spans="1:17" s="4" customFormat="1" ht="169.5" customHeight="1" outlineLevel="1" thickBot="1" x14ac:dyDescent="0.3">
      <c r="A67" s="155">
        <v>39</v>
      </c>
      <c r="B67" s="179" t="s">
        <v>148</v>
      </c>
      <c r="C67" s="180" t="s">
        <v>151</v>
      </c>
      <c r="D67" s="180" t="s">
        <v>143</v>
      </c>
      <c r="E67" s="159" t="s">
        <v>334</v>
      </c>
      <c r="F67" s="159" t="s">
        <v>152</v>
      </c>
      <c r="G67" s="159" t="s">
        <v>2</v>
      </c>
      <c r="H67" s="60">
        <v>2187306400</v>
      </c>
      <c r="I67" s="60">
        <v>2187306400</v>
      </c>
      <c r="J67" s="61">
        <v>0.03</v>
      </c>
      <c r="K67" s="32">
        <v>0</v>
      </c>
      <c r="L67" s="32">
        <f>224789707.9+33079263.9+32539928.1+33079263.9</f>
        <v>323488163.80000001</v>
      </c>
      <c r="M67" s="168">
        <f t="shared" si="3"/>
        <v>2187306400</v>
      </c>
      <c r="N67" s="142" t="s">
        <v>76</v>
      </c>
      <c r="O67" s="196"/>
      <c r="P67" s="3"/>
      <c r="Q67" s="5"/>
    </row>
    <row r="68" spans="1:17" s="9" customFormat="1" ht="15" customHeight="1" x14ac:dyDescent="0.25">
      <c r="A68" s="359" t="s">
        <v>153</v>
      </c>
      <c r="B68" s="360"/>
      <c r="C68" s="360"/>
      <c r="D68" s="363" t="s">
        <v>29</v>
      </c>
      <c r="E68" s="363"/>
      <c r="F68" s="363"/>
      <c r="G68" s="53"/>
      <c r="H68" s="13">
        <f>SUMIF($G$61:$G$67,D68,$H$61:$H$67)</f>
        <v>3500000</v>
      </c>
      <c r="I68" s="13">
        <f>SUMIF($G$61:$G$67,D68,$I$61:$I$67)</f>
        <v>3500000</v>
      </c>
      <c r="J68" s="13"/>
      <c r="K68" s="13">
        <f>SUMIF($G$61:$G$67,D68,$K$61:$K$67)</f>
        <v>986000</v>
      </c>
      <c r="L68" s="13">
        <f>SUMIF($G$61:$G$67,D68,$L$61:$L$67)</f>
        <v>449992.92246187496</v>
      </c>
      <c r="M68" s="13">
        <f>SUMIF($G$61:$G$67,D68,$M$61:$M$67)</f>
        <v>2514000</v>
      </c>
      <c r="N68" s="147"/>
      <c r="O68" s="193"/>
      <c r="P68" s="8"/>
      <c r="Q68" s="5"/>
    </row>
    <row r="69" spans="1:17" s="9" customFormat="1" ht="15" customHeight="1" x14ac:dyDescent="0.25">
      <c r="A69" s="361"/>
      <c r="B69" s="362"/>
      <c r="C69" s="362"/>
      <c r="D69" s="364" t="s">
        <v>2</v>
      </c>
      <c r="E69" s="364"/>
      <c r="F69" s="364"/>
      <c r="G69" s="54"/>
      <c r="H69" s="11">
        <f>SUMIF($G$61:$G$67,D69,$H$61:$H$67)</f>
        <v>80315196700</v>
      </c>
      <c r="I69" s="11">
        <f>SUMIF($G$61:$G$67,D69,$I$61:$I$67)</f>
        <v>80315196700</v>
      </c>
      <c r="J69" s="11"/>
      <c r="K69" s="11">
        <f>SUMIF($G$61:$G$67,D69,$K$61:$K$67)</f>
        <v>65651425341.800018</v>
      </c>
      <c r="L69" s="11">
        <f>SUMIF($G$61:$G$67,D69,$L$61:$L$67)</f>
        <v>28773861055.57</v>
      </c>
      <c r="M69" s="11">
        <f>SUMIF($G$61:$G$67,D69,$M$61:$M$67)</f>
        <v>14663771358.19998</v>
      </c>
      <c r="N69" s="148"/>
      <c r="O69" s="197"/>
      <c r="P69" s="8"/>
      <c r="Q69" s="5"/>
    </row>
    <row r="70" spans="1:17" s="9" customFormat="1" ht="15" customHeight="1" x14ac:dyDescent="0.25">
      <c r="A70" s="361"/>
      <c r="B70" s="362"/>
      <c r="C70" s="362"/>
      <c r="D70" s="364" t="s">
        <v>51</v>
      </c>
      <c r="E70" s="364"/>
      <c r="F70" s="364"/>
      <c r="G70" s="54"/>
      <c r="H70" s="11">
        <f>SUMIF($G$61:$G$67,D70,$H$61:$H$67)</f>
        <v>4517937.9000000004</v>
      </c>
      <c r="I70" s="11">
        <f>SUMIF($G$61:$G$67,D70,$I$61:$I$67)</f>
        <v>4517937.9000000004</v>
      </c>
      <c r="J70" s="11"/>
      <c r="K70" s="11">
        <f>SUMIF($G$61:$G$67,D70,$K$61:$K$67)</f>
        <v>2104966.73</v>
      </c>
      <c r="L70" s="11">
        <f>SUMIF($G$61:$G$67,D70,$L$61:$L$67)</f>
        <v>3797706.99</v>
      </c>
      <c r="M70" s="11">
        <f>SUMIF($G$61:$G$67,D70,$M$61:$M$67)</f>
        <v>2412971.17</v>
      </c>
      <c r="N70" s="148"/>
      <c r="O70" s="197"/>
      <c r="P70" s="8"/>
      <c r="Q70" s="5"/>
    </row>
    <row r="71" spans="1:17" s="9" customFormat="1" ht="15" thickBot="1" x14ac:dyDescent="0.3">
      <c r="A71" s="369"/>
      <c r="B71" s="370"/>
      <c r="C71" s="370"/>
      <c r="D71" s="371" t="s">
        <v>71</v>
      </c>
      <c r="E71" s="371"/>
      <c r="F71" s="371"/>
      <c r="G71" s="57"/>
      <c r="H71" s="12">
        <f>SUMIF($G$61:$G$67,D71,$H$61:$H$67)</f>
        <v>0</v>
      </c>
      <c r="I71" s="12">
        <f>SUMIF($G$61:$G$67,D71,$I$61:$I$67)</f>
        <v>0</v>
      </c>
      <c r="J71" s="12"/>
      <c r="K71" s="12">
        <f>SUMIF($G$61:$G$67,D71,$K$61:$K$67)</f>
        <v>0</v>
      </c>
      <c r="L71" s="12">
        <f>SUMIF($G$61:$G$67,D71,$L$61:$L$67)</f>
        <v>0</v>
      </c>
      <c r="M71" s="12">
        <f>SUMIF($G$61:$G$67,D71,$M$61:$M$67)</f>
        <v>0</v>
      </c>
      <c r="N71" s="150"/>
      <c r="O71" s="196"/>
      <c r="P71" s="8"/>
      <c r="Q71" s="5"/>
    </row>
    <row r="72" spans="1:17" s="2" customFormat="1" ht="77.25" customHeight="1" outlineLevel="1" x14ac:dyDescent="0.25">
      <c r="A72" s="156">
        <v>40</v>
      </c>
      <c r="B72" s="179" t="s">
        <v>154</v>
      </c>
      <c r="C72" s="180" t="s">
        <v>155</v>
      </c>
      <c r="D72" s="180" t="s">
        <v>93</v>
      </c>
      <c r="E72" s="180" t="s">
        <v>335</v>
      </c>
      <c r="F72" s="180" t="s">
        <v>156</v>
      </c>
      <c r="G72" s="183" t="s">
        <v>51</v>
      </c>
      <c r="H72" s="32">
        <v>361332</v>
      </c>
      <c r="I72" s="32">
        <v>361332</v>
      </c>
      <c r="J72" s="35">
        <v>7.7700000000000005E-2</v>
      </c>
      <c r="K72" s="32">
        <v>219031</v>
      </c>
      <c r="L72" s="32">
        <f>187530</f>
        <v>187530</v>
      </c>
      <c r="M72" s="168">
        <f>I72-K72</f>
        <v>142301</v>
      </c>
      <c r="N72" s="140" t="s">
        <v>157</v>
      </c>
      <c r="O72" s="201" t="s">
        <v>475</v>
      </c>
      <c r="P72" s="1"/>
      <c r="Q72" s="5"/>
    </row>
    <row r="73" spans="1:17" ht="64.5" customHeight="1" outlineLevel="1" x14ac:dyDescent="0.25">
      <c r="A73" s="156">
        <v>41</v>
      </c>
      <c r="B73" s="179" t="s">
        <v>158</v>
      </c>
      <c r="C73" s="180" t="s">
        <v>159</v>
      </c>
      <c r="D73" s="165" t="s">
        <v>118</v>
      </c>
      <c r="E73" s="161" t="s">
        <v>336</v>
      </c>
      <c r="F73" s="32" t="s">
        <v>160</v>
      </c>
      <c r="G73" s="183" t="s">
        <v>29</v>
      </c>
      <c r="H73" s="32">
        <v>8000000</v>
      </c>
      <c r="I73" s="32">
        <v>80000</v>
      </c>
      <c r="J73" s="35" t="s">
        <v>44</v>
      </c>
      <c r="K73" s="32">
        <f>10909.09+3636.36+3636.36+1428217/392.76+1554016/427.35+3636.4</f>
        <v>29090.971703756208</v>
      </c>
      <c r="L73" s="32">
        <f>105386.95+361.72+42360.02+4761284/392.76+5116448/427.35+12019.8</f>
        <v>184223.61988818215</v>
      </c>
      <c r="M73" s="168">
        <f>I73-K73</f>
        <v>50909.028296243792</v>
      </c>
      <c r="N73" s="140" t="s">
        <v>161</v>
      </c>
      <c r="O73" s="197"/>
      <c r="Q73" s="5"/>
    </row>
    <row r="74" spans="1:17" ht="53.25" customHeight="1" outlineLevel="1" x14ac:dyDescent="0.25">
      <c r="A74" s="156">
        <v>42</v>
      </c>
      <c r="B74" s="179" t="s">
        <v>158</v>
      </c>
      <c r="C74" s="180" t="s">
        <v>162</v>
      </c>
      <c r="D74" s="165" t="s">
        <v>126</v>
      </c>
      <c r="E74" s="161" t="s">
        <v>337</v>
      </c>
      <c r="F74" s="32" t="s">
        <v>160</v>
      </c>
      <c r="G74" s="183" t="s">
        <v>29</v>
      </c>
      <c r="H74" s="32">
        <v>8000000</v>
      </c>
      <c r="I74" s="32"/>
      <c r="J74" s="35" t="s">
        <v>44</v>
      </c>
      <c r="K74" s="32"/>
      <c r="L74" s="32"/>
      <c r="M74" s="168">
        <f>I74-K74</f>
        <v>0</v>
      </c>
      <c r="N74" s="140" t="s">
        <v>161</v>
      </c>
      <c r="O74" s="197"/>
      <c r="Q74" s="5"/>
    </row>
    <row r="75" spans="1:17" ht="53.25" customHeight="1" outlineLevel="1" x14ac:dyDescent="0.25">
      <c r="A75" s="321">
        <v>43</v>
      </c>
      <c r="B75" s="330" t="s">
        <v>163</v>
      </c>
      <c r="C75" s="322" t="s">
        <v>264</v>
      </c>
      <c r="D75" s="165" t="s">
        <v>118</v>
      </c>
      <c r="E75" s="161" t="s">
        <v>338</v>
      </c>
      <c r="F75" s="322" t="s">
        <v>281</v>
      </c>
      <c r="G75" s="183" t="s">
        <v>29</v>
      </c>
      <c r="H75" s="32">
        <v>5500000</v>
      </c>
      <c r="I75" s="32">
        <f>1384955.78+492272.39+301757.1+219245.55+25340.75</f>
        <v>2423571.5699999998</v>
      </c>
      <c r="J75" s="35" t="s">
        <v>44</v>
      </c>
      <c r="K75" s="32"/>
      <c r="L75" s="32"/>
      <c r="M75" s="168">
        <f t="shared" ref="M75:M97" si="4">I75-K75</f>
        <v>2423571.5699999998</v>
      </c>
      <c r="N75" s="140" t="s">
        <v>76</v>
      </c>
      <c r="O75" s="202" t="s">
        <v>476</v>
      </c>
      <c r="Q75" s="5"/>
    </row>
    <row r="76" spans="1:17" ht="31.5" customHeight="1" outlineLevel="1" x14ac:dyDescent="0.25">
      <c r="A76" s="311"/>
      <c r="B76" s="331"/>
      <c r="C76" s="314"/>
      <c r="D76" s="165" t="s">
        <v>463</v>
      </c>
      <c r="E76" s="161"/>
      <c r="F76" s="314"/>
      <c r="G76" s="159" t="s">
        <v>2</v>
      </c>
      <c r="H76" s="32">
        <v>92733053.200000003</v>
      </c>
      <c r="I76" s="32">
        <f>92733053.2+20276600+1679251+16492341.9+20399976.4+42969092+26833268.5</f>
        <v>221383583</v>
      </c>
      <c r="J76" s="35"/>
      <c r="K76" s="32"/>
      <c r="L76" s="32"/>
      <c r="M76" s="168">
        <f t="shared" si="4"/>
        <v>221383583</v>
      </c>
      <c r="N76" s="140"/>
      <c r="O76" s="197"/>
      <c r="Q76" s="5"/>
    </row>
    <row r="77" spans="1:17" ht="54" outlineLevel="1" x14ac:dyDescent="0.25">
      <c r="A77" s="156">
        <v>44</v>
      </c>
      <c r="B77" s="179" t="s">
        <v>164</v>
      </c>
      <c r="C77" s="180" t="s">
        <v>165</v>
      </c>
      <c r="D77" s="180" t="s">
        <v>463</v>
      </c>
      <c r="E77" s="161" t="s">
        <v>339</v>
      </c>
      <c r="F77" s="32" t="s">
        <v>166</v>
      </c>
      <c r="G77" s="159" t="s">
        <v>2</v>
      </c>
      <c r="H77" s="32">
        <v>249300000</v>
      </c>
      <c r="I77" s="32">
        <v>249300000</v>
      </c>
      <c r="J77" s="38">
        <v>1E-3</v>
      </c>
      <c r="K77" s="32">
        <f>42881892.9</f>
        <v>42881892.899999999</v>
      </c>
      <c r="L77" s="32">
        <f>528153.5</f>
        <v>528153.5</v>
      </c>
      <c r="M77" s="168">
        <f t="shared" si="4"/>
        <v>206418107.09999999</v>
      </c>
      <c r="N77" s="140" t="s">
        <v>76</v>
      </c>
      <c r="O77" s="197"/>
      <c r="Q77" s="5"/>
    </row>
    <row r="78" spans="1:17" ht="148.5" outlineLevel="1" x14ac:dyDescent="0.25">
      <c r="A78" s="156">
        <v>45</v>
      </c>
      <c r="B78" s="171" t="s">
        <v>107</v>
      </c>
      <c r="C78" s="163" t="s">
        <v>108</v>
      </c>
      <c r="D78" s="165" t="s">
        <v>101</v>
      </c>
      <c r="E78" s="164" t="s">
        <v>340</v>
      </c>
      <c r="F78" s="184" t="s">
        <v>109</v>
      </c>
      <c r="G78" s="183" t="s">
        <v>51</v>
      </c>
      <c r="H78" s="32">
        <v>4000000</v>
      </c>
      <c r="I78" s="32">
        <v>817235.07</v>
      </c>
      <c r="J78" s="35" t="s">
        <v>44</v>
      </c>
      <c r="K78" s="32">
        <f>465353.9+34986668/397.71</f>
        <v>553324.19996731286</v>
      </c>
      <c r="L78" s="32">
        <f>188098.2+7483550/397.71</f>
        <v>206914.80003520154</v>
      </c>
      <c r="M78" s="176">
        <f>I78-K78</f>
        <v>263910.87003268709</v>
      </c>
      <c r="N78" s="163" t="s">
        <v>110</v>
      </c>
      <c r="O78" s="203"/>
      <c r="Q78" s="5"/>
    </row>
    <row r="79" spans="1:17" s="4" customFormat="1" ht="40.5" outlineLevel="1" x14ac:dyDescent="0.25">
      <c r="A79" s="156">
        <v>46</v>
      </c>
      <c r="B79" s="179" t="s">
        <v>167</v>
      </c>
      <c r="C79" s="180" t="s">
        <v>133</v>
      </c>
      <c r="D79" s="159" t="s">
        <v>473</v>
      </c>
      <c r="E79" s="159" t="s">
        <v>341</v>
      </c>
      <c r="F79" s="159" t="s">
        <v>291</v>
      </c>
      <c r="G79" s="159" t="s">
        <v>2</v>
      </c>
      <c r="H79" s="60">
        <v>50600000</v>
      </c>
      <c r="I79" s="32">
        <v>50600000</v>
      </c>
      <c r="J79" s="179" t="s">
        <v>168</v>
      </c>
      <c r="K79" s="32"/>
      <c r="L79" s="32"/>
      <c r="M79" s="60">
        <f t="shared" si="4"/>
        <v>50600000</v>
      </c>
      <c r="N79" s="140" t="s">
        <v>76</v>
      </c>
      <c r="O79" s="202" t="s">
        <v>477</v>
      </c>
      <c r="P79" s="3"/>
      <c r="Q79" s="5"/>
    </row>
    <row r="80" spans="1:17" s="4" customFormat="1" ht="40.5" outlineLevel="1" x14ac:dyDescent="0.25">
      <c r="A80" s="156">
        <v>47</v>
      </c>
      <c r="B80" s="179" t="s">
        <v>167</v>
      </c>
      <c r="C80" s="180" t="s">
        <v>133</v>
      </c>
      <c r="D80" s="159" t="s">
        <v>473</v>
      </c>
      <c r="E80" s="159" t="s">
        <v>342</v>
      </c>
      <c r="F80" s="159" t="s">
        <v>292</v>
      </c>
      <c r="G80" s="180" t="s">
        <v>2</v>
      </c>
      <c r="H80" s="60">
        <v>1100000000</v>
      </c>
      <c r="I80" s="32">
        <v>1100000000</v>
      </c>
      <c r="J80" s="179" t="s">
        <v>168</v>
      </c>
      <c r="K80" s="32"/>
      <c r="L80" s="32"/>
      <c r="M80" s="60">
        <f t="shared" si="4"/>
        <v>1100000000</v>
      </c>
      <c r="N80" s="330" t="s">
        <v>267</v>
      </c>
      <c r="O80" s="202" t="s">
        <v>477</v>
      </c>
      <c r="P80" s="3"/>
      <c r="Q80" s="5"/>
    </row>
    <row r="81" spans="1:17" s="4" customFormat="1" ht="40.5" outlineLevel="1" x14ac:dyDescent="0.25">
      <c r="A81" s="156">
        <v>48</v>
      </c>
      <c r="B81" s="179" t="s">
        <v>167</v>
      </c>
      <c r="C81" s="180" t="s">
        <v>133</v>
      </c>
      <c r="D81" s="159" t="s">
        <v>473</v>
      </c>
      <c r="E81" s="159" t="s">
        <v>343</v>
      </c>
      <c r="F81" s="159" t="s">
        <v>293</v>
      </c>
      <c r="G81" s="180" t="s">
        <v>2</v>
      </c>
      <c r="H81" s="60">
        <v>792386600</v>
      </c>
      <c r="I81" s="32">
        <v>791031693</v>
      </c>
      <c r="J81" s="179" t="s">
        <v>168</v>
      </c>
      <c r="K81" s="32"/>
      <c r="L81" s="32"/>
      <c r="M81" s="60">
        <f t="shared" si="4"/>
        <v>791031693</v>
      </c>
      <c r="N81" s="352"/>
      <c r="O81" s="202" t="s">
        <v>477</v>
      </c>
      <c r="P81" s="3"/>
      <c r="Q81" s="5"/>
    </row>
    <row r="82" spans="1:17" s="4" customFormat="1" ht="40.5" outlineLevel="1" x14ac:dyDescent="0.25">
      <c r="A82" s="156">
        <v>49</v>
      </c>
      <c r="B82" s="179" t="s">
        <v>167</v>
      </c>
      <c r="C82" s="180" t="s">
        <v>133</v>
      </c>
      <c r="D82" s="159" t="s">
        <v>473</v>
      </c>
      <c r="E82" s="159" t="s">
        <v>344</v>
      </c>
      <c r="F82" s="159" t="s">
        <v>294</v>
      </c>
      <c r="G82" s="180" t="s">
        <v>2</v>
      </c>
      <c r="H82" s="60">
        <v>254672300</v>
      </c>
      <c r="I82" s="32">
        <f>168444408+75498000+5196300+5196300</f>
        <v>254335008</v>
      </c>
      <c r="J82" s="179" t="s">
        <v>168</v>
      </c>
      <c r="K82" s="32"/>
      <c r="L82" s="32"/>
      <c r="M82" s="60">
        <f t="shared" si="4"/>
        <v>254335008</v>
      </c>
      <c r="N82" s="331"/>
      <c r="O82" s="202" t="s">
        <v>477</v>
      </c>
      <c r="P82" s="3"/>
      <c r="Q82" s="5"/>
    </row>
    <row r="83" spans="1:17" s="4" customFormat="1" ht="40.5" outlineLevel="1" x14ac:dyDescent="0.25">
      <c r="A83" s="156">
        <v>50</v>
      </c>
      <c r="B83" s="179" t="s">
        <v>169</v>
      </c>
      <c r="C83" s="180" t="s">
        <v>133</v>
      </c>
      <c r="D83" s="159" t="s">
        <v>463</v>
      </c>
      <c r="E83" s="159" t="s">
        <v>345</v>
      </c>
      <c r="F83" s="159" t="s">
        <v>170</v>
      </c>
      <c r="G83" s="180" t="s">
        <v>2</v>
      </c>
      <c r="H83" s="60">
        <v>88731015</v>
      </c>
      <c r="I83" s="32">
        <v>88731000</v>
      </c>
      <c r="J83" s="62">
        <v>8.5000000000000006E-2</v>
      </c>
      <c r="K83" s="32"/>
      <c r="L83" s="32">
        <v>1591081</v>
      </c>
      <c r="M83" s="60">
        <f t="shared" si="4"/>
        <v>88731000</v>
      </c>
      <c r="N83" s="142" t="s">
        <v>171</v>
      </c>
      <c r="O83" s="204" t="s">
        <v>478</v>
      </c>
      <c r="P83" s="3"/>
      <c r="Q83" s="5"/>
    </row>
    <row r="84" spans="1:17" s="4" customFormat="1" ht="40.5" outlineLevel="1" x14ac:dyDescent="0.25">
      <c r="A84" s="156">
        <v>51</v>
      </c>
      <c r="B84" s="179" t="s">
        <v>172</v>
      </c>
      <c r="C84" s="180" t="s">
        <v>173</v>
      </c>
      <c r="D84" s="159" t="s">
        <v>463</v>
      </c>
      <c r="E84" s="159" t="s">
        <v>346</v>
      </c>
      <c r="F84" s="159" t="s">
        <v>174</v>
      </c>
      <c r="G84" s="180" t="s">
        <v>2</v>
      </c>
      <c r="H84" s="60">
        <v>3840000000</v>
      </c>
      <c r="I84" s="32">
        <v>3840000000</v>
      </c>
      <c r="J84" s="63">
        <v>1.0000000000000001E-5</v>
      </c>
      <c r="K84" s="32">
        <v>3484641868</v>
      </c>
      <c r="L84" s="32">
        <v>37169</v>
      </c>
      <c r="M84" s="60">
        <f t="shared" si="4"/>
        <v>355358132</v>
      </c>
      <c r="N84" s="142" t="s">
        <v>76</v>
      </c>
      <c r="O84" s="202" t="s">
        <v>479</v>
      </c>
      <c r="P84" s="3"/>
      <c r="Q84" s="5"/>
    </row>
    <row r="85" spans="1:17" ht="94.5" outlineLevel="1" x14ac:dyDescent="0.25">
      <c r="A85" s="156">
        <v>52</v>
      </c>
      <c r="B85" s="171" t="s">
        <v>175</v>
      </c>
      <c r="C85" s="163" t="s">
        <v>173</v>
      </c>
      <c r="D85" s="163" t="s">
        <v>143</v>
      </c>
      <c r="E85" s="180" t="s">
        <v>347</v>
      </c>
      <c r="F85" s="180" t="s">
        <v>176</v>
      </c>
      <c r="G85" s="180" t="s">
        <v>51</v>
      </c>
      <c r="H85" s="64">
        <v>8944984.0899999999</v>
      </c>
      <c r="I85" s="32">
        <v>8944984.0899999999</v>
      </c>
      <c r="J85" s="65">
        <v>7.4999999999999997E-3</v>
      </c>
      <c r="K85" s="32">
        <f>2425758.4+151609.9+151609.9</f>
        <v>2728978.1999999997</v>
      </c>
      <c r="L85" s="32">
        <f>881276.03+25084.35+24380.12+23943.98</f>
        <v>954684.48</v>
      </c>
      <c r="M85" s="168">
        <f t="shared" si="4"/>
        <v>6216005.8900000006</v>
      </c>
      <c r="N85" s="187" t="s">
        <v>76</v>
      </c>
      <c r="O85" s="197"/>
      <c r="Q85" s="5"/>
    </row>
    <row r="86" spans="1:17" ht="55.5" customHeight="1" outlineLevel="1" x14ac:dyDescent="0.25">
      <c r="A86" s="321">
        <v>53</v>
      </c>
      <c r="B86" s="330" t="s">
        <v>177</v>
      </c>
      <c r="C86" s="322" t="s">
        <v>173</v>
      </c>
      <c r="D86" s="322" t="s">
        <v>143</v>
      </c>
      <c r="E86" s="322" t="s">
        <v>348</v>
      </c>
      <c r="F86" s="180" t="s">
        <v>178</v>
      </c>
      <c r="G86" s="180" t="s">
        <v>51</v>
      </c>
      <c r="H86" s="64">
        <v>5217725</v>
      </c>
      <c r="I86" s="32">
        <v>5217725</v>
      </c>
      <c r="J86" s="65">
        <v>7.4999999999999997E-3</v>
      </c>
      <c r="K86" s="32">
        <f>782658.5+52177.25+52177.25</f>
        <v>887013</v>
      </c>
      <c r="L86" s="32">
        <f>538816.19+16480.36</f>
        <v>555296.54999999993</v>
      </c>
      <c r="M86" s="168">
        <f t="shared" si="4"/>
        <v>4330712</v>
      </c>
      <c r="N86" s="319" t="s">
        <v>76</v>
      </c>
      <c r="O86" s="197"/>
      <c r="Q86" s="5"/>
    </row>
    <row r="87" spans="1:17" ht="55.5" customHeight="1" outlineLevel="1" x14ac:dyDescent="0.25">
      <c r="A87" s="372"/>
      <c r="B87" s="352"/>
      <c r="C87" s="332"/>
      <c r="D87" s="332"/>
      <c r="E87" s="332"/>
      <c r="F87" s="180" t="s">
        <v>178</v>
      </c>
      <c r="G87" s="180" t="s">
        <v>2</v>
      </c>
      <c r="H87" s="64">
        <v>93025000</v>
      </c>
      <c r="I87" s="32">
        <v>93025000</v>
      </c>
      <c r="J87" s="65">
        <v>7.4999999999999997E-3</v>
      </c>
      <c r="K87" s="32">
        <f>13953750+930250+930250</f>
        <v>15814250</v>
      </c>
      <c r="L87" s="32">
        <f>9237334.28+296030</f>
        <v>9533364.2799999993</v>
      </c>
      <c r="M87" s="168">
        <f t="shared" si="4"/>
        <v>77210750</v>
      </c>
      <c r="N87" s="384"/>
      <c r="O87" s="197"/>
      <c r="Q87" s="5"/>
    </row>
    <row r="88" spans="1:17" ht="94.5" outlineLevel="1" x14ac:dyDescent="0.25">
      <c r="A88" s="156">
        <v>54</v>
      </c>
      <c r="B88" s="171" t="s">
        <v>179</v>
      </c>
      <c r="C88" s="163" t="s">
        <v>173</v>
      </c>
      <c r="D88" s="163" t="s">
        <v>143</v>
      </c>
      <c r="E88" s="180" t="s">
        <v>349</v>
      </c>
      <c r="F88" s="180" t="s">
        <v>180</v>
      </c>
      <c r="G88" s="180" t="s">
        <v>51</v>
      </c>
      <c r="H88" s="64">
        <v>1989000</v>
      </c>
      <c r="I88" s="32">
        <v>1989000</v>
      </c>
      <c r="J88" s="65">
        <v>7.4999999999999997E-3</v>
      </c>
      <c r="K88" s="32">
        <f>337118.7+33711.86+33711.86</f>
        <v>404542.42</v>
      </c>
      <c r="L88" s="32">
        <f>177150.18+6084.76</f>
        <v>183234.94</v>
      </c>
      <c r="M88" s="168">
        <f t="shared" si="4"/>
        <v>1584457.58</v>
      </c>
      <c r="N88" s="187" t="s">
        <v>76</v>
      </c>
      <c r="O88" s="197"/>
      <c r="Q88" s="5"/>
    </row>
    <row r="89" spans="1:17" ht="108" outlineLevel="1" x14ac:dyDescent="0.25">
      <c r="A89" s="156">
        <v>55</v>
      </c>
      <c r="B89" s="171" t="s">
        <v>295</v>
      </c>
      <c r="C89" s="163" t="s">
        <v>296</v>
      </c>
      <c r="D89" s="163" t="s">
        <v>143</v>
      </c>
      <c r="E89" s="163" t="s">
        <v>350</v>
      </c>
      <c r="F89" s="163" t="s">
        <v>297</v>
      </c>
      <c r="G89" s="180" t="s">
        <v>2</v>
      </c>
      <c r="H89" s="64">
        <v>2047212646</v>
      </c>
      <c r="I89" s="184">
        <v>2047212646</v>
      </c>
      <c r="J89" s="65">
        <v>0.02</v>
      </c>
      <c r="K89" s="32">
        <v>0</v>
      </c>
      <c r="L89" s="32">
        <f>88017538.4+20640391+20640391</f>
        <v>129298320.40000001</v>
      </c>
      <c r="M89" s="168">
        <f t="shared" si="4"/>
        <v>2047212646</v>
      </c>
      <c r="N89" s="187" t="s">
        <v>76</v>
      </c>
      <c r="O89" s="197"/>
      <c r="Q89" s="5"/>
    </row>
    <row r="90" spans="1:17" ht="256.5" outlineLevel="1" x14ac:dyDescent="0.25">
      <c r="A90" s="162">
        <v>56</v>
      </c>
      <c r="B90" s="171" t="s">
        <v>181</v>
      </c>
      <c r="C90" s="163" t="s">
        <v>182</v>
      </c>
      <c r="D90" s="163" t="s">
        <v>93</v>
      </c>
      <c r="E90" s="163" t="s">
        <v>351</v>
      </c>
      <c r="F90" s="163" t="s">
        <v>183</v>
      </c>
      <c r="G90" s="180" t="s">
        <v>51</v>
      </c>
      <c r="H90" s="64">
        <v>2217000</v>
      </c>
      <c r="I90" s="64">
        <v>2217000</v>
      </c>
      <c r="J90" s="66">
        <v>0.02</v>
      </c>
      <c r="K90" s="32">
        <f>1656550.78+18166.04+7000680/387.28+18122.86+18122.86+32122.86+28837.1+8000+8000</f>
        <v>1805999.0337740141</v>
      </c>
      <c r="L90" s="32">
        <f>108750.120345235+1633.42+698950/387.28+1809.39+1778.61+1691.44+3308.88+1649.96+1632.88</f>
        <v>124059.4669223885</v>
      </c>
      <c r="M90" s="168">
        <f t="shared" si="4"/>
        <v>411000.9662259859</v>
      </c>
      <c r="N90" s="187" t="s">
        <v>184</v>
      </c>
      <c r="O90" s="202" t="s">
        <v>480</v>
      </c>
      <c r="Q90" s="5"/>
    </row>
    <row r="91" spans="1:17" ht="64.5" customHeight="1" outlineLevel="1" x14ac:dyDescent="0.25">
      <c r="A91" s="156">
        <v>57</v>
      </c>
      <c r="B91" s="179" t="s">
        <v>284</v>
      </c>
      <c r="C91" s="180" t="s">
        <v>285</v>
      </c>
      <c r="D91" s="180" t="s">
        <v>118</v>
      </c>
      <c r="E91" s="180" t="s">
        <v>352</v>
      </c>
      <c r="F91" s="163" t="s">
        <v>287</v>
      </c>
      <c r="G91" s="180" t="s">
        <v>29</v>
      </c>
      <c r="H91" s="64">
        <f>4199559.68+12720691.2+1113060.48+1966688.64</f>
        <v>20000000</v>
      </c>
      <c r="I91" s="64">
        <f>H91</f>
        <v>20000000</v>
      </c>
      <c r="J91" s="66" t="s">
        <v>288</v>
      </c>
      <c r="K91" s="32"/>
      <c r="L91" s="67">
        <f>77849.88+103888.1+413918.01</f>
        <v>595655.99</v>
      </c>
      <c r="M91" s="168">
        <f t="shared" si="4"/>
        <v>20000000</v>
      </c>
      <c r="N91" s="187" t="s">
        <v>289</v>
      </c>
      <c r="O91" s="202"/>
      <c r="Q91" s="5"/>
    </row>
    <row r="92" spans="1:17" s="4" customFormat="1" ht="38.25" customHeight="1" outlineLevel="1" x14ac:dyDescent="0.25">
      <c r="A92" s="372">
        <v>58</v>
      </c>
      <c r="B92" s="352" t="s">
        <v>185</v>
      </c>
      <c r="C92" s="332" t="s">
        <v>186</v>
      </c>
      <c r="D92" s="332"/>
      <c r="E92" s="333" t="s">
        <v>353</v>
      </c>
      <c r="F92" s="324" t="s">
        <v>187</v>
      </c>
      <c r="G92" s="183" t="s">
        <v>51</v>
      </c>
      <c r="H92" s="60">
        <v>237758.39</v>
      </c>
      <c r="I92" s="32">
        <v>237758.39</v>
      </c>
      <c r="J92" s="38"/>
      <c r="K92" s="32"/>
      <c r="L92" s="32"/>
      <c r="M92" s="60">
        <f t="shared" si="4"/>
        <v>237758.39</v>
      </c>
      <c r="N92" s="319" t="s">
        <v>76</v>
      </c>
      <c r="O92" s="197"/>
      <c r="P92" s="3"/>
      <c r="Q92" s="5"/>
    </row>
    <row r="93" spans="1:17" s="4" customFormat="1" ht="45" customHeight="1" outlineLevel="1" x14ac:dyDescent="0.25">
      <c r="A93" s="372"/>
      <c r="B93" s="331"/>
      <c r="C93" s="314"/>
      <c r="D93" s="314"/>
      <c r="E93" s="315"/>
      <c r="F93" s="315"/>
      <c r="G93" s="47" t="s">
        <v>2</v>
      </c>
      <c r="H93" s="68">
        <v>28883700</v>
      </c>
      <c r="I93" s="32">
        <v>28883700</v>
      </c>
      <c r="J93" s="186"/>
      <c r="K93" s="32"/>
      <c r="L93" s="32"/>
      <c r="M93" s="60">
        <f t="shared" si="4"/>
        <v>28883700</v>
      </c>
      <c r="N93" s="320"/>
      <c r="O93" s="197"/>
      <c r="P93" s="3"/>
      <c r="Q93" s="5"/>
    </row>
    <row r="94" spans="1:17" s="2" customFormat="1" ht="40.5" customHeight="1" outlineLevel="1" x14ac:dyDescent="0.25">
      <c r="A94" s="162">
        <v>59</v>
      </c>
      <c r="B94" s="171" t="s">
        <v>111</v>
      </c>
      <c r="C94" s="163" t="s">
        <v>112</v>
      </c>
      <c r="D94" s="163" t="s">
        <v>463</v>
      </c>
      <c r="E94" s="163" t="s">
        <v>354</v>
      </c>
      <c r="F94" s="163" t="s">
        <v>114</v>
      </c>
      <c r="G94" s="163" t="s">
        <v>2</v>
      </c>
      <c r="H94" s="184">
        <v>303444194</v>
      </c>
      <c r="I94" s="184">
        <v>303444194</v>
      </c>
      <c r="J94" s="186">
        <v>0</v>
      </c>
      <c r="K94" s="184"/>
      <c r="L94" s="184"/>
      <c r="M94" s="176">
        <f t="shared" si="4"/>
        <v>303444194</v>
      </c>
      <c r="N94" s="187" t="s">
        <v>76</v>
      </c>
      <c r="O94" s="199"/>
      <c r="P94" s="1"/>
      <c r="Q94" s="5"/>
    </row>
    <row r="95" spans="1:17" ht="51" customHeight="1" x14ac:dyDescent="0.25">
      <c r="A95" s="156">
        <v>60</v>
      </c>
      <c r="B95" s="179" t="s">
        <v>440</v>
      </c>
      <c r="C95" s="180" t="s">
        <v>441</v>
      </c>
      <c r="D95" s="180" t="s">
        <v>463</v>
      </c>
      <c r="E95" s="180" t="s">
        <v>442</v>
      </c>
      <c r="F95" s="180" t="s">
        <v>443</v>
      </c>
      <c r="G95" s="180" t="s">
        <v>2</v>
      </c>
      <c r="H95" s="32">
        <v>1600000000</v>
      </c>
      <c r="I95" s="40">
        <v>1600000000</v>
      </c>
      <c r="J95" s="62">
        <v>0.06</v>
      </c>
      <c r="K95" s="40">
        <f>16666667+16666667</f>
        <v>33333334</v>
      </c>
      <c r="L95" s="40">
        <f>14728767+7827397</f>
        <v>22556164</v>
      </c>
      <c r="M95" s="60">
        <f t="shared" si="4"/>
        <v>1566666666</v>
      </c>
      <c r="N95" s="180" t="s">
        <v>444</v>
      </c>
      <c r="O95" s="197"/>
      <c r="Q95" s="5"/>
    </row>
    <row r="96" spans="1:17" ht="155.25" customHeight="1" x14ac:dyDescent="0.25">
      <c r="A96" s="155">
        <v>61</v>
      </c>
      <c r="B96" s="172" t="s">
        <v>481</v>
      </c>
      <c r="C96" s="180" t="s">
        <v>441</v>
      </c>
      <c r="D96" s="180" t="s">
        <v>463</v>
      </c>
      <c r="E96" s="157"/>
      <c r="F96" s="180" t="s">
        <v>482</v>
      </c>
      <c r="G96" s="180" t="s">
        <v>2</v>
      </c>
      <c r="H96" s="185">
        <v>3500000000</v>
      </c>
      <c r="I96" s="185">
        <v>3500000000</v>
      </c>
      <c r="J96" s="62">
        <v>0.08</v>
      </c>
      <c r="K96" s="192"/>
      <c r="L96" s="192"/>
      <c r="M96" s="60">
        <f t="shared" si="4"/>
        <v>3500000000</v>
      </c>
      <c r="N96" s="189" t="s">
        <v>483</v>
      </c>
      <c r="O96" s="193"/>
      <c r="Q96" s="5"/>
    </row>
    <row r="97" spans="1:17" s="2" customFormat="1" ht="47.25" customHeight="1" outlineLevel="1" x14ac:dyDescent="0.25">
      <c r="A97" s="155">
        <v>62</v>
      </c>
      <c r="B97" s="157" t="s">
        <v>484</v>
      </c>
      <c r="C97" s="157" t="s">
        <v>441</v>
      </c>
      <c r="D97" s="157" t="s">
        <v>463</v>
      </c>
      <c r="E97" s="99" t="s">
        <v>447</v>
      </c>
      <c r="F97" s="157" t="s">
        <v>263</v>
      </c>
      <c r="G97" s="157" t="s">
        <v>2</v>
      </c>
      <c r="H97" s="185">
        <v>2000000000</v>
      </c>
      <c r="I97" s="185">
        <v>2000000000</v>
      </c>
      <c r="J97" s="167">
        <v>1E-4</v>
      </c>
      <c r="K97" s="185"/>
      <c r="L97" s="185"/>
      <c r="M97" s="178">
        <f t="shared" si="4"/>
        <v>2000000000</v>
      </c>
      <c r="N97" s="189" t="s">
        <v>448</v>
      </c>
      <c r="O97" s="205"/>
      <c r="P97" s="1"/>
      <c r="Q97" s="5"/>
    </row>
    <row r="98" spans="1:17" s="2" customFormat="1" ht="47.25" customHeight="1" outlineLevel="1" x14ac:dyDescent="0.25">
      <c r="A98" s="155">
        <v>63</v>
      </c>
      <c r="B98" s="157" t="s">
        <v>188</v>
      </c>
      <c r="C98" s="157" t="s">
        <v>189</v>
      </c>
      <c r="D98" s="157" t="s">
        <v>485</v>
      </c>
      <c r="E98" s="99" t="s">
        <v>355</v>
      </c>
      <c r="F98" s="157" t="s">
        <v>191</v>
      </c>
      <c r="G98" s="157" t="s">
        <v>51</v>
      </c>
      <c r="H98" s="185">
        <v>10000000</v>
      </c>
      <c r="I98" s="185">
        <v>10000000</v>
      </c>
      <c r="J98" s="167" t="s">
        <v>192</v>
      </c>
      <c r="K98" s="185">
        <v>2553676.86</v>
      </c>
      <c r="L98" s="185">
        <f>3533579.15874841+18816925/512.41+16022937.4/426.85+37537.63+37130+36723+37538+'[2]15,08,20 գործող'!$I$55+'[2]15,08,20 գործող'!$I$56</f>
        <v>3831843.4704706864</v>
      </c>
      <c r="M98" s="178">
        <f>I98-K98</f>
        <v>7446323.1400000006</v>
      </c>
      <c r="N98" s="189" t="s">
        <v>193</v>
      </c>
      <c r="O98" s="205" t="s">
        <v>486</v>
      </c>
      <c r="P98" s="1"/>
      <c r="Q98" s="5"/>
    </row>
    <row r="99" spans="1:17" s="2" customFormat="1" ht="51" customHeight="1" outlineLevel="1" thickBot="1" x14ac:dyDescent="0.3">
      <c r="A99" s="156">
        <v>64</v>
      </c>
      <c r="B99" s="180" t="s">
        <v>188</v>
      </c>
      <c r="C99" s="180" t="s">
        <v>133</v>
      </c>
      <c r="D99" s="180" t="s">
        <v>485</v>
      </c>
      <c r="E99" s="58" t="s">
        <v>356</v>
      </c>
      <c r="F99" s="180" t="s">
        <v>194</v>
      </c>
      <c r="G99" s="180" t="s">
        <v>2</v>
      </c>
      <c r="H99" s="32">
        <v>8000000000</v>
      </c>
      <c r="I99" s="32">
        <v>8000000000</v>
      </c>
      <c r="J99" s="35" t="s">
        <v>195</v>
      </c>
      <c r="K99" s="32"/>
      <c r="L99" s="32">
        <f>3496438357+79342466+80657534+79342466+79342466+1315069</f>
        <v>3816438358</v>
      </c>
      <c r="M99" s="168">
        <f>I99-K99</f>
        <v>8000000000</v>
      </c>
      <c r="N99" s="140" t="s">
        <v>196</v>
      </c>
      <c r="O99" s="200" t="s">
        <v>487</v>
      </c>
      <c r="P99" s="1"/>
      <c r="Q99" s="5"/>
    </row>
    <row r="100" spans="1:17" s="9" customFormat="1" ht="24.75" customHeight="1" x14ac:dyDescent="0.25">
      <c r="A100" s="359" t="s">
        <v>197</v>
      </c>
      <c r="B100" s="360"/>
      <c r="C100" s="360"/>
      <c r="D100" s="363" t="s">
        <v>29</v>
      </c>
      <c r="E100" s="363"/>
      <c r="F100" s="363"/>
      <c r="G100" s="69"/>
      <c r="H100" s="13">
        <f>SUMIF($G$72:$G$99,D100,$H$72:$H$99)</f>
        <v>41500000</v>
      </c>
      <c r="I100" s="13">
        <f>SUMIF($G$72:$G$99,D100,$I$72:$I$99)</f>
        <v>22503571.57</v>
      </c>
      <c r="J100" s="13"/>
      <c r="K100" s="13">
        <f>SUMIF($G$72:$G$99,D100,$K$72:$K$99)</f>
        <v>29090.971703756208</v>
      </c>
      <c r="L100" s="13">
        <f>SUMIF($G$72:$G$99,D100,$L$72:$L$99)</f>
        <v>779879.60988818214</v>
      </c>
      <c r="M100" s="13">
        <f>SUMIF($G$72:$G$99,D100,$M$72:$M$99)</f>
        <v>22474480.598296244</v>
      </c>
      <c r="N100" s="147"/>
      <c r="O100" s="193"/>
      <c r="P100" s="8"/>
      <c r="Q100" s="5"/>
    </row>
    <row r="101" spans="1:17" s="9" customFormat="1" ht="39" customHeight="1" x14ac:dyDescent="0.25">
      <c r="A101" s="361"/>
      <c r="B101" s="362"/>
      <c r="C101" s="362"/>
      <c r="D101" s="364" t="s">
        <v>2</v>
      </c>
      <c r="E101" s="364"/>
      <c r="F101" s="364"/>
      <c r="G101" s="54"/>
      <c r="H101" s="11">
        <f>SUMIF($G$72:$G$99,D101,$H$72:$H$99)</f>
        <v>24040988508.200001</v>
      </c>
      <c r="I101" s="11">
        <f>SUMIF($G$72:$G$99,D101,$I$72:$I$99)</f>
        <v>24167946824</v>
      </c>
      <c r="J101" s="11"/>
      <c r="K101" s="11">
        <f>SUMIF($G$72:$G$99,D101,$K$72:$K$99)</f>
        <v>3576671344.9000001</v>
      </c>
      <c r="L101" s="11">
        <f>SUMIF($G$72:$G$99,D101,$L$72:$L$99)</f>
        <v>3979982610.1799998</v>
      </c>
      <c r="M101" s="11">
        <f>SUMIF($G$72:$G$99,D101,$M$72:$M$99)</f>
        <v>20591275479.099998</v>
      </c>
      <c r="N101" s="148"/>
      <c r="O101" s="197"/>
      <c r="P101" s="8"/>
      <c r="Q101" s="5"/>
    </row>
    <row r="102" spans="1:17" s="9" customFormat="1" ht="39" customHeight="1" x14ac:dyDescent="0.25">
      <c r="A102" s="361"/>
      <c r="B102" s="362"/>
      <c r="C102" s="362"/>
      <c r="D102" s="364" t="s">
        <v>51</v>
      </c>
      <c r="E102" s="364"/>
      <c r="F102" s="364"/>
      <c r="G102" s="54"/>
      <c r="H102" s="11">
        <f>SUMIF($G$72:$G$99,D102,$H$72:$H$99)</f>
        <v>32967799.48</v>
      </c>
      <c r="I102" s="11">
        <f>SUMIF($G$72:$G$99,D102,$I$72:$I$99)</f>
        <v>29785034.550000001</v>
      </c>
      <c r="J102" s="11"/>
      <c r="K102" s="11">
        <f>SUMIF($G$72:$G$99,D102,$K$72:$K$99)</f>
        <v>9152564.7137413267</v>
      </c>
      <c r="L102" s="11">
        <f>SUMIF($G$72:$G$99,D102,$L$72:$L$99)</f>
        <v>6043563.7074282765</v>
      </c>
      <c r="M102" s="11">
        <f>SUMIF($G$72:$G$99,D102,$M$72:$M$99)</f>
        <v>20632469.836258672</v>
      </c>
      <c r="N102" s="148"/>
      <c r="O102" s="197"/>
      <c r="P102" s="8"/>
      <c r="Q102" s="5"/>
    </row>
    <row r="103" spans="1:17" s="9" customFormat="1" ht="39" customHeight="1" thickBot="1" x14ac:dyDescent="0.3">
      <c r="A103" s="369"/>
      <c r="B103" s="370"/>
      <c r="C103" s="370"/>
      <c r="D103" s="371" t="s">
        <v>71</v>
      </c>
      <c r="E103" s="371"/>
      <c r="F103" s="371"/>
      <c r="G103" s="57"/>
      <c r="H103" s="12">
        <f>SUMIF($G$72:$G$99,D103,$H$72:$H$99)</f>
        <v>0</v>
      </c>
      <c r="I103" s="12">
        <f>SUMIF($G$72:$G$99,D103,$I$72:$I$99)</f>
        <v>0</v>
      </c>
      <c r="J103" s="12"/>
      <c r="K103" s="12">
        <f>SUMIF($G$72:$G$99,D103,$K$72:$K$99)</f>
        <v>0</v>
      </c>
      <c r="L103" s="12">
        <f>SUMIF($G$72:$G$99,D103,$L$72:$L$99)</f>
        <v>0</v>
      </c>
      <c r="M103" s="12">
        <f>SUMIF($G$72:$G$99,D103,$M$72:$M$99)</f>
        <v>0</v>
      </c>
      <c r="N103" s="150"/>
      <c r="O103" s="196"/>
      <c r="P103" s="8"/>
      <c r="Q103" s="5"/>
    </row>
    <row r="104" spans="1:17" s="4" customFormat="1" ht="156.75" customHeight="1" outlineLevel="1" x14ac:dyDescent="0.25">
      <c r="A104" s="156">
        <v>65</v>
      </c>
      <c r="B104" s="163" t="s">
        <v>0</v>
      </c>
      <c r="C104" s="163" t="s">
        <v>1</v>
      </c>
      <c r="D104" s="163" t="s">
        <v>463</v>
      </c>
      <c r="E104" s="165" t="s">
        <v>357</v>
      </c>
      <c r="F104" s="165" t="s">
        <v>198</v>
      </c>
      <c r="G104" s="180" t="s">
        <v>2</v>
      </c>
      <c r="H104" s="68">
        <f>3047000000+3000000000</f>
        <v>6047000000</v>
      </c>
      <c r="I104" s="40">
        <v>6000000000</v>
      </c>
      <c r="J104" s="186"/>
      <c r="K104" s="40">
        <f>4439902959+260956717.5+995441267.7+73262192.2+103703140+88648827.6+23704487.9+9999937.1</f>
        <v>5995619529</v>
      </c>
      <c r="L104" s="40"/>
      <c r="M104" s="184">
        <f t="shared" ref="M104:M109" si="5">I104-K104</f>
        <v>4380471</v>
      </c>
      <c r="N104" s="146" t="s">
        <v>76</v>
      </c>
      <c r="O104" s="193"/>
      <c r="P104" s="3"/>
      <c r="Q104" s="5"/>
    </row>
    <row r="105" spans="1:17" s="4" customFormat="1" ht="147" customHeight="1" outlineLevel="1" x14ac:dyDescent="0.25">
      <c r="A105" s="156">
        <v>66</v>
      </c>
      <c r="B105" s="322" t="s">
        <v>0</v>
      </c>
      <c r="C105" s="322" t="s">
        <v>7</v>
      </c>
      <c r="D105" s="163" t="s">
        <v>463</v>
      </c>
      <c r="E105" s="165" t="s">
        <v>488</v>
      </c>
      <c r="F105" s="165" t="s">
        <v>9</v>
      </c>
      <c r="G105" s="180" t="s">
        <v>2</v>
      </c>
      <c r="H105" s="32">
        <v>2000000000</v>
      </c>
      <c r="I105" s="40">
        <v>2000000000</v>
      </c>
      <c r="J105" s="38">
        <v>2.7E-2</v>
      </c>
      <c r="K105" s="40"/>
      <c r="L105" s="168">
        <f>68417269.8+13462993.2+49643.9+1421840.5+38566246.5+491534.9+1119195.4+178355+29883.2+10588.6+3022.3</f>
        <v>123750573.30000001</v>
      </c>
      <c r="M105" s="168">
        <f t="shared" si="5"/>
        <v>2000000000</v>
      </c>
      <c r="N105" s="146" t="s">
        <v>76</v>
      </c>
      <c r="O105" s="197"/>
      <c r="P105" s="3"/>
      <c r="Q105" s="5"/>
    </row>
    <row r="106" spans="1:17" s="4" customFormat="1" ht="144.75" customHeight="1" outlineLevel="1" x14ac:dyDescent="0.25">
      <c r="A106" s="156">
        <v>67</v>
      </c>
      <c r="B106" s="332"/>
      <c r="C106" s="332"/>
      <c r="D106" s="169" t="s">
        <v>463</v>
      </c>
      <c r="E106" s="165" t="s">
        <v>489</v>
      </c>
      <c r="F106" s="165" t="s">
        <v>11</v>
      </c>
      <c r="G106" s="157" t="s">
        <v>2</v>
      </c>
      <c r="H106" s="32">
        <v>2000000000</v>
      </c>
      <c r="I106" s="40">
        <v>2000000000</v>
      </c>
      <c r="J106" s="70">
        <v>5.7000000000000002E-2</v>
      </c>
      <c r="K106" s="40"/>
      <c r="L106" s="40">
        <f>153819379.6+28421448.8+780809.1+528470.5+2614769.3+283790.1+5159868.8+1406739.9</f>
        <v>193015276.10000002</v>
      </c>
      <c r="M106" s="168">
        <f t="shared" si="5"/>
        <v>2000000000</v>
      </c>
      <c r="N106" s="146" t="s">
        <v>76</v>
      </c>
      <c r="O106" s="197"/>
      <c r="P106" s="3"/>
      <c r="Q106" s="5"/>
    </row>
    <row r="107" spans="1:17" s="4" customFormat="1" ht="168" customHeight="1" outlineLevel="1" x14ac:dyDescent="0.25">
      <c r="A107" s="156">
        <v>68</v>
      </c>
      <c r="B107" s="403"/>
      <c r="C107" s="403"/>
      <c r="D107" s="189"/>
      <c r="E107" s="159" t="s">
        <v>490</v>
      </c>
      <c r="F107" s="159" t="s">
        <v>199</v>
      </c>
      <c r="G107" s="157" t="s">
        <v>2</v>
      </c>
      <c r="H107" s="32">
        <v>5000000000</v>
      </c>
      <c r="I107" s="40">
        <v>5000000000</v>
      </c>
      <c r="J107" s="38">
        <v>2.7E-2</v>
      </c>
      <c r="K107" s="40"/>
      <c r="L107" s="40">
        <f>34209157.5+76580313.4+83507353.3+1840160.7</f>
        <v>196136984.89999998</v>
      </c>
      <c r="M107" s="168">
        <f t="shared" si="5"/>
        <v>5000000000</v>
      </c>
      <c r="N107" s="142" t="s">
        <v>76</v>
      </c>
      <c r="O107" s="197"/>
      <c r="P107" s="3"/>
      <c r="Q107" s="5"/>
    </row>
    <row r="108" spans="1:17" s="4" customFormat="1" ht="175.5" outlineLevel="1" x14ac:dyDescent="0.25">
      <c r="A108" s="155">
        <v>69</v>
      </c>
      <c r="B108" s="173" t="s">
        <v>3</v>
      </c>
      <c r="C108" s="173" t="s">
        <v>5</v>
      </c>
      <c r="D108" s="173" t="s">
        <v>463</v>
      </c>
      <c r="E108" s="174" t="s">
        <v>358</v>
      </c>
      <c r="F108" s="174" t="s">
        <v>6</v>
      </c>
      <c r="G108" s="157" t="s">
        <v>2</v>
      </c>
      <c r="H108" s="185">
        <v>562500000</v>
      </c>
      <c r="I108" s="192">
        <v>562500000</v>
      </c>
      <c r="J108" s="70"/>
      <c r="K108" s="192"/>
      <c r="L108" s="192"/>
      <c r="M108" s="177">
        <f t="shared" si="5"/>
        <v>562500000</v>
      </c>
      <c r="N108" s="151" t="s">
        <v>76</v>
      </c>
      <c r="O108" s="193"/>
      <c r="P108" s="3"/>
      <c r="Q108" s="5"/>
    </row>
    <row r="109" spans="1:17" s="4" customFormat="1" ht="135.75" outlineLevel="1" thickBot="1" x14ac:dyDescent="0.3">
      <c r="A109" s="71">
        <v>70</v>
      </c>
      <c r="B109" s="194" t="s">
        <v>3</v>
      </c>
      <c r="C109" s="194" t="s">
        <v>4</v>
      </c>
      <c r="D109" s="194" t="s">
        <v>463</v>
      </c>
      <c r="E109" s="74"/>
      <c r="F109" s="74" t="s">
        <v>369</v>
      </c>
      <c r="G109" s="194" t="s">
        <v>2</v>
      </c>
      <c r="H109" s="75">
        <f>2000000000+7300000000</f>
        <v>9300000000</v>
      </c>
      <c r="I109" s="76">
        <f>9024295000</f>
        <v>9024295000</v>
      </c>
      <c r="J109" s="77"/>
      <c r="K109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</f>
        <v>8809064589.2000065</v>
      </c>
      <c r="L109" s="76">
        <f>34040214.6+16030636.8+1797857.1+7375602.5+3983531.1+11814600.3+22459610.6+9668538.8+11671711.4+6908264.6+1329981.6</f>
        <v>127080549.39999999</v>
      </c>
      <c r="M109" s="78">
        <f t="shared" si="5"/>
        <v>215230410.79999352</v>
      </c>
      <c r="N109" s="195" t="s">
        <v>76</v>
      </c>
      <c r="O109" s="196"/>
      <c r="P109" s="3"/>
      <c r="Q109" s="5"/>
    </row>
    <row r="110" spans="1:17" s="9" customFormat="1" ht="30" customHeight="1" x14ac:dyDescent="0.25">
      <c r="A110" s="375" t="s">
        <v>200</v>
      </c>
      <c r="B110" s="376"/>
      <c r="C110" s="376"/>
      <c r="D110" s="377" t="s">
        <v>29</v>
      </c>
      <c r="E110" s="378"/>
      <c r="F110" s="379"/>
      <c r="G110" s="49"/>
      <c r="H110" s="14">
        <f>SUMIF($G$104:$G$109,D110,$H$104:$H$109)</f>
        <v>0</v>
      </c>
      <c r="I110" s="14">
        <f>SUMIF($G$104:$G$109,D110,$I$104:$I$109)</f>
        <v>0</v>
      </c>
      <c r="J110" s="14"/>
      <c r="K110" s="14">
        <f>SUMIF($G$104:$G$109,D110,$K$104:$K$109)</f>
        <v>0</v>
      </c>
      <c r="L110" s="14">
        <f>SUMIF($G$104:$G$109,D110,$L$104:$L$109)</f>
        <v>0</v>
      </c>
      <c r="M110" s="14">
        <f>SUMIF($G$104:$G$109,D110,$M$104:$M$109)</f>
        <v>0</v>
      </c>
      <c r="N110" s="152"/>
      <c r="O110" s="193"/>
      <c r="P110" s="3"/>
      <c r="Q110" s="5"/>
    </row>
    <row r="111" spans="1:17" s="9" customFormat="1" ht="27" customHeight="1" x14ac:dyDescent="0.25">
      <c r="A111" s="361"/>
      <c r="B111" s="362"/>
      <c r="C111" s="362"/>
      <c r="D111" s="380" t="s">
        <v>2</v>
      </c>
      <c r="E111" s="381"/>
      <c r="F111" s="382"/>
      <c r="G111" s="54"/>
      <c r="H111" s="14">
        <f>SUMIF($G$104:$G$109,D111,$H$104:$H$109)</f>
        <v>24909500000</v>
      </c>
      <c r="I111" s="11">
        <f>SUMIF($G$104:$G$109,D111,$I$104:$I$109)</f>
        <v>24586795000</v>
      </c>
      <c r="J111" s="11"/>
      <c r="K111" s="11">
        <f>SUMIF($G$104:$G$109,D111,$K$104:$K$109)</f>
        <v>14804684118.200006</v>
      </c>
      <c r="L111" s="11">
        <f>SUMIF($G$104:$G$109,D111,$L$104:$L$109)</f>
        <v>639983383.70000005</v>
      </c>
      <c r="M111" s="11">
        <f>SUMIF($G$104:$G$109,D111,$M$104:$M$109)</f>
        <v>9782110881.7999935</v>
      </c>
      <c r="N111" s="148"/>
      <c r="O111" s="197"/>
      <c r="P111" s="3"/>
      <c r="Q111" s="5"/>
    </row>
    <row r="112" spans="1:17" s="9" customFormat="1" ht="28.5" customHeight="1" x14ac:dyDescent="0.25">
      <c r="A112" s="361"/>
      <c r="B112" s="362"/>
      <c r="C112" s="362"/>
      <c r="D112" s="380" t="s">
        <v>51</v>
      </c>
      <c r="E112" s="381"/>
      <c r="F112" s="382"/>
      <c r="G112" s="54"/>
      <c r="H112" s="14">
        <f>SUMIF($G$104:$G$109,D112,$H$104:$H$109)</f>
        <v>0</v>
      </c>
      <c r="I112" s="11">
        <f>SUMIF($G$104:$G$109,D112,$I$104:$I$109)</f>
        <v>0</v>
      </c>
      <c r="J112" s="11"/>
      <c r="K112" s="11">
        <f>SUMIF($G$104:$G$109,D112,$K$104:$K$109)</f>
        <v>0</v>
      </c>
      <c r="L112" s="11">
        <f>SUMIF($G$104:$G$109,D112,$L$104:$L$109)</f>
        <v>0</v>
      </c>
      <c r="M112" s="11">
        <f>SUMIF($G$104:$G$109,D112,$M$104:$M$109)</f>
        <v>0</v>
      </c>
      <c r="N112" s="148"/>
      <c r="O112" s="197"/>
      <c r="P112" s="8"/>
      <c r="Q112" s="5"/>
    </row>
    <row r="113" spans="1:17" s="9" customFormat="1" ht="30" customHeight="1" thickBot="1" x14ac:dyDescent="0.3">
      <c r="A113" s="369"/>
      <c r="B113" s="370"/>
      <c r="C113" s="370"/>
      <c r="D113" s="366" t="s">
        <v>71</v>
      </c>
      <c r="E113" s="367"/>
      <c r="F113" s="368"/>
      <c r="G113" s="57"/>
      <c r="H113" s="12">
        <f>SUMIF($G$104:$G$109,D113,$H$104:$H$109)</f>
        <v>0</v>
      </c>
      <c r="I113" s="12">
        <f>SUMIF($G$104:$G$109,D113,$I$104:$I$109)</f>
        <v>0</v>
      </c>
      <c r="J113" s="12"/>
      <c r="K113" s="12">
        <f>SUMIF($G$104:$G$109,D113,$K$104:$K$109)</f>
        <v>0</v>
      </c>
      <c r="L113" s="12">
        <f>SUMIF($G$104:$G$109,D113,$L$104:$L$109)</f>
        <v>0</v>
      </c>
      <c r="M113" s="12">
        <f>SUMIF($G$104:$G$109,D113,$M$104:$M$109)</f>
        <v>0</v>
      </c>
      <c r="N113" s="150"/>
      <c r="O113" s="196"/>
      <c r="P113" s="8"/>
      <c r="Q113" s="5"/>
    </row>
    <row r="114" spans="1:17" s="4" customFormat="1" ht="121.5" outlineLevel="1" x14ac:dyDescent="0.25">
      <c r="A114" s="155">
        <v>71</v>
      </c>
      <c r="B114" s="182" t="s">
        <v>201</v>
      </c>
      <c r="C114" s="182" t="s">
        <v>202</v>
      </c>
      <c r="D114" s="163" t="s">
        <v>463</v>
      </c>
      <c r="E114" s="165" t="s">
        <v>359</v>
      </c>
      <c r="F114" s="165" t="s">
        <v>203</v>
      </c>
      <c r="G114" s="180" t="s">
        <v>2</v>
      </c>
      <c r="H114" s="79">
        <v>574491741</v>
      </c>
      <c r="I114" s="79">
        <v>574491741</v>
      </c>
      <c r="J114" s="175">
        <v>1E-4</v>
      </c>
      <c r="K114" s="79">
        <f>132575017.2</f>
        <v>132575017.2</v>
      </c>
      <c r="L114" s="79">
        <f>85623+14165+39966.7</f>
        <v>139754.70000000001</v>
      </c>
      <c r="M114" s="177">
        <f t="shared" ref="M114:M126" si="6">I114-K114</f>
        <v>441916723.80000001</v>
      </c>
      <c r="N114" s="151" t="s">
        <v>204</v>
      </c>
      <c r="O114" s="193"/>
      <c r="P114" s="3"/>
      <c r="Q114" s="5"/>
    </row>
    <row r="115" spans="1:17" s="4" customFormat="1" ht="121.5" outlineLevel="1" x14ac:dyDescent="0.25">
      <c r="A115" s="156">
        <v>72</v>
      </c>
      <c r="B115" s="171" t="s">
        <v>205</v>
      </c>
      <c r="C115" s="171" t="s">
        <v>202</v>
      </c>
      <c r="D115" s="163" t="s">
        <v>463</v>
      </c>
      <c r="E115" s="165" t="s">
        <v>360</v>
      </c>
      <c r="F115" s="165" t="s">
        <v>206</v>
      </c>
      <c r="G115" s="180" t="s">
        <v>2</v>
      </c>
      <c r="H115" s="68">
        <v>98612371</v>
      </c>
      <c r="I115" s="60">
        <v>98612371</v>
      </c>
      <c r="J115" s="166">
        <v>1E-4</v>
      </c>
      <c r="K115" s="60"/>
      <c r="L115" s="60">
        <v>17060</v>
      </c>
      <c r="M115" s="176">
        <f t="shared" si="6"/>
        <v>98612371</v>
      </c>
      <c r="N115" s="146" t="s">
        <v>207</v>
      </c>
      <c r="O115" s="197"/>
      <c r="P115" s="3"/>
      <c r="Q115" s="5"/>
    </row>
    <row r="116" spans="1:17" s="4" customFormat="1" ht="121.5" outlineLevel="1" x14ac:dyDescent="0.25">
      <c r="A116" s="156">
        <v>73</v>
      </c>
      <c r="B116" s="171" t="s">
        <v>208</v>
      </c>
      <c r="C116" s="171" t="s">
        <v>202</v>
      </c>
      <c r="D116" s="163" t="s">
        <v>463</v>
      </c>
      <c r="E116" s="165" t="s">
        <v>361</v>
      </c>
      <c r="F116" s="165" t="s">
        <v>209</v>
      </c>
      <c r="G116" s="180" t="s">
        <v>2</v>
      </c>
      <c r="H116" s="68">
        <v>60132468</v>
      </c>
      <c r="I116" s="60">
        <v>60132468</v>
      </c>
      <c r="J116" s="166">
        <v>1E-4</v>
      </c>
      <c r="K116" s="60">
        <f>4625574.5+4625574.5+4625574.5+4625574.5+4625575+4625575+4625575</f>
        <v>32379023</v>
      </c>
      <c r="L116" s="60">
        <f>10367+1511.2+1400+1500+1500+1000+20000+1000</f>
        <v>38278.199999999997</v>
      </c>
      <c r="M116" s="176">
        <f t="shared" si="6"/>
        <v>27753445</v>
      </c>
      <c r="N116" s="146" t="s">
        <v>210</v>
      </c>
      <c r="O116" s="206"/>
      <c r="P116" s="15"/>
      <c r="Q116" s="5"/>
    </row>
    <row r="117" spans="1:17" s="4" customFormat="1" ht="121.5" outlineLevel="1" x14ac:dyDescent="0.25">
      <c r="A117" s="156">
        <v>74</v>
      </c>
      <c r="B117" s="171" t="s">
        <v>211</v>
      </c>
      <c r="C117" s="171" t="s">
        <v>202</v>
      </c>
      <c r="D117" s="163" t="s">
        <v>463</v>
      </c>
      <c r="E117" s="165" t="s">
        <v>362</v>
      </c>
      <c r="F117" s="165" t="s">
        <v>212</v>
      </c>
      <c r="G117" s="180" t="s">
        <v>2</v>
      </c>
      <c r="H117" s="32">
        <f>9500000+12453199</f>
        <v>21953199</v>
      </c>
      <c r="I117" s="60">
        <f>9500000+12453199</f>
        <v>21953199</v>
      </c>
      <c r="J117" s="166">
        <v>1E-4</v>
      </c>
      <c r="K117" s="60"/>
      <c r="L117" s="60">
        <v>3720</v>
      </c>
      <c r="M117" s="176">
        <f t="shared" si="6"/>
        <v>21953199</v>
      </c>
      <c r="N117" s="146" t="s">
        <v>213</v>
      </c>
      <c r="O117" s="206"/>
      <c r="P117" s="15"/>
      <c r="Q117" s="5"/>
    </row>
    <row r="118" spans="1:17" s="4" customFormat="1" ht="129.75" customHeight="1" outlineLevel="1" x14ac:dyDescent="0.25">
      <c r="A118" s="156">
        <v>75</v>
      </c>
      <c r="B118" s="171" t="s">
        <v>214</v>
      </c>
      <c r="C118" s="171" t="s">
        <v>202</v>
      </c>
      <c r="D118" s="163" t="s">
        <v>463</v>
      </c>
      <c r="E118" s="165" t="s">
        <v>362</v>
      </c>
      <c r="F118" s="165" t="s">
        <v>215</v>
      </c>
      <c r="G118" s="180" t="s">
        <v>2</v>
      </c>
      <c r="H118" s="68">
        <v>15801400</v>
      </c>
      <c r="I118" s="60">
        <v>15801400</v>
      </c>
      <c r="J118" s="166">
        <v>1E-4</v>
      </c>
      <c r="K118" s="60"/>
      <c r="L118" s="60">
        <v>3500</v>
      </c>
      <c r="M118" s="176">
        <f t="shared" si="6"/>
        <v>15801400</v>
      </c>
      <c r="N118" s="146" t="s">
        <v>216</v>
      </c>
      <c r="O118" s="206"/>
      <c r="P118" s="15"/>
      <c r="Q118" s="5"/>
    </row>
    <row r="119" spans="1:17" s="4" customFormat="1" ht="129.75" customHeight="1" outlineLevel="1" x14ac:dyDescent="0.25">
      <c r="A119" s="156">
        <v>76</v>
      </c>
      <c r="B119" s="171" t="s">
        <v>217</v>
      </c>
      <c r="C119" s="171" t="s">
        <v>202</v>
      </c>
      <c r="D119" s="163" t="s">
        <v>463</v>
      </c>
      <c r="E119" s="165" t="s">
        <v>362</v>
      </c>
      <c r="F119" s="165" t="s">
        <v>215</v>
      </c>
      <c r="G119" s="180" t="s">
        <v>2</v>
      </c>
      <c r="H119" s="68">
        <v>2554000</v>
      </c>
      <c r="I119" s="60">
        <v>2554000</v>
      </c>
      <c r="J119" s="166">
        <v>1E-4</v>
      </c>
      <c r="K119" s="60"/>
      <c r="L119" s="60">
        <f>500</f>
        <v>500</v>
      </c>
      <c r="M119" s="176">
        <f t="shared" si="6"/>
        <v>2554000</v>
      </c>
      <c r="N119" s="146" t="s">
        <v>218</v>
      </c>
      <c r="O119" s="206"/>
      <c r="P119" s="15"/>
      <c r="Q119" s="5"/>
    </row>
    <row r="120" spans="1:17" s="4" customFormat="1" ht="129.75" customHeight="1" outlineLevel="1" x14ac:dyDescent="0.25">
      <c r="A120" s="156">
        <v>77</v>
      </c>
      <c r="B120" s="171" t="s">
        <v>219</v>
      </c>
      <c r="C120" s="171" t="s">
        <v>202</v>
      </c>
      <c r="D120" s="163" t="s">
        <v>463</v>
      </c>
      <c r="E120" s="165" t="s">
        <v>362</v>
      </c>
      <c r="F120" s="165" t="s">
        <v>220</v>
      </c>
      <c r="G120" s="180" t="s">
        <v>2</v>
      </c>
      <c r="H120" s="68">
        <v>29053320</v>
      </c>
      <c r="I120" s="60">
        <v>29053320</v>
      </c>
      <c r="J120" s="166">
        <v>1E-4</v>
      </c>
      <c r="K120" s="60"/>
      <c r="L120" s="60">
        <f>2000+3000</f>
        <v>5000</v>
      </c>
      <c r="M120" s="176">
        <f t="shared" si="6"/>
        <v>29053320</v>
      </c>
      <c r="N120" s="146" t="s">
        <v>221</v>
      </c>
      <c r="O120" s="206"/>
      <c r="P120" s="15"/>
      <c r="Q120" s="5"/>
    </row>
    <row r="121" spans="1:17" s="4" customFormat="1" ht="129.75" customHeight="1" outlineLevel="1" x14ac:dyDescent="0.25">
      <c r="A121" s="156">
        <v>78</v>
      </c>
      <c r="B121" s="171" t="s">
        <v>222</v>
      </c>
      <c r="C121" s="171" t="s">
        <v>202</v>
      </c>
      <c r="D121" s="163" t="s">
        <v>463</v>
      </c>
      <c r="E121" s="165" t="s">
        <v>362</v>
      </c>
      <c r="F121" s="165" t="s">
        <v>223</v>
      </c>
      <c r="G121" s="180" t="s">
        <v>2</v>
      </c>
      <c r="H121" s="68">
        <v>192064443</v>
      </c>
      <c r="I121" s="60">
        <f>95000000+97064443</f>
        <v>192064443</v>
      </c>
      <c r="J121" s="166">
        <v>1E-4</v>
      </c>
      <c r="K121" s="60">
        <f>65000000+20000000</f>
        <v>85000000</v>
      </c>
      <c r="L121" s="60">
        <f>16100+12200+23933</f>
        <v>52233</v>
      </c>
      <c r="M121" s="176">
        <f t="shared" si="6"/>
        <v>107064443</v>
      </c>
      <c r="N121" s="146" t="s">
        <v>224</v>
      </c>
      <c r="O121" s="206"/>
      <c r="P121" s="15"/>
      <c r="Q121" s="5"/>
    </row>
    <row r="122" spans="1:17" s="4" customFormat="1" ht="129.75" customHeight="1" outlineLevel="1" x14ac:dyDescent="0.25">
      <c r="A122" s="156">
        <v>79</v>
      </c>
      <c r="B122" s="171" t="s">
        <v>226</v>
      </c>
      <c r="C122" s="171" t="s">
        <v>202</v>
      </c>
      <c r="D122" s="163" t="s">
        <v>463</v>
      </c>
      <c r="E122" s="165" t="s">
        <v>362</v>
      </c>
      <c r="F122" s="165" t="s">
        <v>225</v>
      </c>
      <c r="G122" s="180" t="s">
        <v>2</v>
      </c>
      <c r="H122" s="68">
        <v>3469534</v>
      </c>
      <c r="I122" s="60">
        <v>3469534</v>
      </c>
      <c r="J122" s="166">
        <v>1E-4</v>
      </c>
      <c r="K122" s="60">
        <v>266887</v>
      </c>
      <c r="L122" s="60">
        <f>600+86</f>
        <v>686</v>
      </c>
      <c r="M122" s="176">
        <f t="shared" si="6"/>
        <v>3202647</v>
      </c>
      <c r="N122" s="146" t="s">
        <v>227</v>
      </c>
      <c r="O122" s="206"/>
      <c r="P122" s="15"/>
      <c r="Q122" s="5"/>
    </row>
    <row r="123" spans="1:17" s="4" customFormat="1" ht="129.75" customHeight="1" outlineLevel="1" x14ac:dyDescent="0.25">
      <c r="A123" s="156">
        <v>80</v>
      </c>
      <c r="B123" s="171" t="s">
        <v>228</v>
      </c>
      <c r="C123" s="171" t="s">
        <v>202</v>
      </c>
      <c r="D123" s="163" t="s">
        <v>463</v>
      </c>
      <c r="E123" s="165" t="s">
        <v>362</v>
      </c>
      <c r="F123" s="165" t="s">
        <v>229</v>
      </c>
      <c r="G123" s="180" t="s">
        <v>2</v>
      </c>
      <c r="H123" s="68">
        <v>11781702</v>
      </c>
      <c r="I123" s="60">
        <v>11781702</v>
      </c>
      <c r="J123" s="166">
        <v>1E-4</v>
      </c>
      <c r="K123" s="60">
        <f>906285+906285+906285+906285+906285+906285+906285</f>
        <v>6343995</v>
      </c>
      <c r="L123" s="60">
        <f>3000+1500+1500</f>
        <v>6000</v>
      </c>
      <c r="M123" s="176">
        <f t="shared" si="6"/>
        <v>5437707</v>
      </c>
      <c r="N123" s="146" t="s">
        <v>230</v>
      </c>
      <c r="O123" s="206"/>
      <c r="P123" s="15"/>
      <c r="Q123" s="5"/>
    </row>
    <row r="124" spans="1:17" s="4" customFormat="1" ht="129.75" customHeight="1" outlineLevel="1" x14ac:dyDescent="0.25">
      <c r="A124" s="156">
        <v>81</v>
      </c>
      <c r="B124" s="171" t="s">
        <v>231</v>
      </c>
      <c r="C124" s="171" t="s">
        <v>202</v>
      </c>
      <c r="D124" s="163" t="s">
        <v>463</v>
      </c>
      <c r="E124" s="165" t="s">
        <v>362</v>
      </c>
      <c r="F124" s="165" t="s">
        <v>232</v>
      </c>
      <c r="G124" s="180" t="s">
        <v>2</v>
      </c>
      <c r="H124" s="68">
        <f>112000000+16200000</f>
        <v>128200000</v>
      </c>
      <c r="I124" s="60">
        <f>112000000+16200000</f>
        <v>128200000</v>
      </c>
      <c r="J124" s="166">
        <v>1E-4</v>
      </c>
      <c r="K124" s="60">
        <f>3000000+3000000+4000000</f>
        <v>10000000</v>
      </c>
      <c r="L124" s="60">
        <f>25640+12820</f>
        <v>38460</v>
      </c>
      <c r="M124" s="176">
        <f t="shared" si="6"/>
        <v>118200000</v>
      </c>
      <c r="N124" s="146" t="s">
        <v>233</v>
      </c>
      <c r="O124" s="206"/>
      <c r="P124" s="15"/>
      <c r="Q124" s="5"/>
    </row>
    <row r="125" spans="1:17" s="4" customFormat="1" ht="129.75" customHeight="1" outlineLevel="1" x14ac:dyDescent="0.25">
      <c r="A125" s="156">
        <v>82</v>
      </c>
      <c r="B125" s="171" t="s">
        <v>234</v>
      </c>
      <c r="C125" s="171" t="s">
        <v>202</v>
      </c>
      <c r="D125" s="163" t="s">
        <v>463</v>
      </c>
      <c r="E125" s="165" t="s">
        <v>362</v>
      </c>
      <c r="F125" s="165" t="s">
        <v>235</v>
      </c>
      <c r="G125" s="180" t="s">
        <v>2</v>
      </c>
      <c r="H125" s="68">
        <v>26127500</v>
      </c>
      <c r="I125" s="60">
        <v>26127500</v>
      </c>
      <c r="J125" s="166">
        <v>1E-4</v>
      </c>
      <c r="K125" s="60"/>
      <c r="L125" s="60">
        <f>4530</f>
        <v>4530</v>
      </c>
      <c r="M125" s="176">
        <f t="shared" si="6"/>
        <v>26127500</v>
      </c>
      <c r="N125" s="146" t="s">
        <v>236</v>
      </c>
      <c r="O125" s="206"/>
      <c r="P125" s="15"/>
      <c r="Q125" s="5"/>
    </row>
    <row r="126" spans="1:17" s="4" customFormat="1" ht="129.75" customHeight="1" outlineLevel="1" x14ac:dyDescent="0.25">
      <c r="A126" s="156">
        <v>83</v>
      </c>
      <c r="B126" s="171" t="s">
        <v>237</v>
      </c>
      <c r="C126" s="171" t="s">
        <v>202</v>
      </c>
      <c r="D126" s="163" t="s">
        <v>463</v>
      </c>
      <c r="E126" s="165" t="s">
        <v>362</v>
      </c>
      <c r="F126" s="165" t="s">
        <v>238</v>
      </c>
      <c r="G126" s="180" t="s">
        <v>2</v>
      </c>
      <c r="H126" s="68">
        <v>19297200</v>
      </c>
      <c r="I126" s="60">
        <f>10800000+3440000+1440000+3617200</f>
        <v>19297200</v>
      </c>
      <c r="J126" s="166">
        <v>1E-4</v>
      </c>
      <c r="K126" s="60"/>
      <c r="L126" s="60">
        <f>3000</f>
        <v>3000</v>
      </c>
      <c r="M126" s="176">
        <f t="shared" si="6"/>
        <v>19297200</v>
      </c>
      <c r="N126" s="146" t="s">
        <v>239</v>
      </c>
      <c r="O126" s="206"/>
      <c r="P126" s="15"/>
      <c r="Q126" s="5"/>
    </row>
    <row r="127" spans="1:17" s="4" customFormat="1" ht="129.75" customHeight="1" outlineLevel="1" x14ac:dyDescent="0.25">
      <c r="A127" s="156">
        <v>84</v>
      </c>
      <c r="B127" s="171" t="s">
        <v>240</v>
      </c>
      <c r="C127" s="171" t="s">
        <v>202</v>
      </c>
      <c r="D127" s="163" t="s">
        <v>463</v>
      </c>
      <c r="E127" s="165" t="s">
        <v>362</v>
      </c>
      <c r="F127" s="165" t="s">
        <v>225</v>
      </c>
      <c r="G127" s="180" t="s">
        <v>2</v>
      </c>
      <c r="H127" s="68">
        <v>2164000</v>
      </c>
      <c r="I127" s="60">
        <v>2164000</v>
      </c>
      <c r="J127" s="166">
        <v>1E-4</v>
      </c>
      <c r="K127" s="60">
        <f>166462+166462+165000+167000+166500+166500</f>
        <v>997924</v>
      </c>
      <c r="L127" s="60">
        <f>370+54.8+100+100+500</f>
        <v>1124.8</v>
      </c>
      <c r="M127" s="176">
        <f>I127-L127</f>
        <v>2162875.2000000002</v>
      </c>
      <c r="N127" s="146" t="s">
        <v>241</v>
      </c>
      <c r="O127" s="206"/>
      <c r="P127" s="15"/>
      <c r="Q127" s="5"/>
    </row>
    <row r="128" spans="1:17" s="4" customFormat="1" ht="129.75" customHeight="1" outlineLevel="1" x14ac:dyDescent="0.25">
      <c r="A128" s="156">
        <v>85</v>
      </c>
      <c r="B128" s="171" t="s">
        <v>242</v>
      </c>
      <c r="C128" s="171" t="s">
        <v>202</v>
      </c>
      <c r="D128" s="163" t="s">
        <v>463</v>
      </c>
      <c r="E128" s="165" t="s">
        <v>362</v>
      </c>
      <c r="F128" s="165" t="s">
        <v>243</v>
      </c>
      <c r="G128" s="180" t="s">
        <v>2</v>
      </c>
      <c r="H128" s="68">
        <v>253504102</v>
      </c>
      <c r="I128" s="60">
        <v>253504102</v>
      </c>
      <c r="J128" s="166">
        <v>1E-4</v>
      </c>
      <c r="K128" s="60">
        <f>19500316+19500316+19500315+19500315+19500315+19500315+19500316</f>
        <v>136502208</v>
      </c>
      <c r="L128" s="60">
        <f>5973+6390+6181+6389+6181.4+6390+6390+6390+6389+5407+7015+5059.2+9482.9</f>
        <v>83637.499999999985</v>
      </c>
      <c r="M128" s="176">
        <f t="shared" ref="M128:M134" si="7">I128-K128</f>
        <v>117001894</v>
      </c>
      <c r="N128" s="146" t="s">
        <v>244</v>
      </c>
      <c r="O128" s="206"/>
      <c r="P128" s="15"/>
      <c r="Q128" s="5"/>
    </row>
    <row r="129" spans="1:17" s="4" customFormat="1" ht="129.75" customHeight="1" outlineLevel="1" x14ac:dyDescent="0.25">
      <c r="A129" s="156">
        <v>86</v>
      </c>
      <c r="B129" s="171" t="s">
        <v>245</v>
      </c>
      <c r="C129" s="171" t="s">
        <v>202</v>
      </c>
      <c r="D129" s="163" t="s">
        <v>463</v>
      </c>
      <c r="E129" s="165" t="s">
        <v>362</v>
      </c>
      <c r="F129" s="165" t="s">
        <v>243</v>
      </c>
      <c r="G129" s="180" t="s">
        <v>2</v>
      </c>
      <c r="H129" s="68">
        <v>76200000</v>
      </c>
      <c r="I129" s="60">
        <v>76200000</v>
      </c>
      <c r="J129" s="166">
        <v>1E-4</v>
      </c>
      <c r="K129" s="60"/>
      <c r="L129" s="60">
        <f>7620+5520</f>
        <v>13140</v>
      </c>
      <c r="M129" s="176">
        <f t="shared" si="7"/>
        <v>76200000</v>
      </c>
      <c r="N129" s="146" t="s">
        <v>246</v>
      </c>
      <c r="O129" s="206"/>
      <c r="P129" s="15"/>
      <c r="Q129" s="5"/>
    </row>
    <row r="130" spans="1:17" s="4" customFormat="1" ht="121.5" outlineLevel="1" x14ac:dyDescent="0.25">
      <c r="A130" s="156">
        <v>87</v>
      </c>
      <c r="B130" s="171" t="s">
        <v>247</v>
      </c>
      <c r="C130" s="171" t="s">
        <v>202</v>
      </c>
      <c r="D130" s="163" t="s">
        <v>463</v>
      </c>
      <c r="E130" s="165" t="s">
        <v>362</v>
      </c>
      <c r="F130" s="165" t="s">
        <v>248</v>
      </c>
      <c r="G130" s="180" t="s">
        <v>2</v>
      </c>
      <c r="H130" s="68">
        <v>50613970</v>
      </c>
      <c r="I130" s="60">
        <v>50613970</v>
      </c>
      <c r="J130" s="166">
        <v>1E-4</v>
      </c>
      <c r="K130" s="60"/>
      <c r="L130" s="60">
        <f>8800+8800</f>
        <v>17600</v>
      </c>
      <c r="M130" s="176">
        <f t="shared" si="7"/>
        <v>50613970</v>
      </c>
      <c r="N130" s="146" t="s">
        <v>249</v>
      </c>
      <c r="O130" s="206"/>
      <c r="P130" s="15"/>
      <c r="Q130" s="5"/>
    </row>
    <row r="131" spans="1:17" s="4" customFormat="1" ht="121.5" outlineLevel="1" x14ac:dyDescent="0.25">
      <c r="A131" s="156">
        <v>88</v>
      </c>
      <c r="B131" s="171" t="s">
        <v>250</v>
      </c>
      <c r="C131" s="171" t="s">
        <v>202</v>
      </c>
      <c r="D131" s="163" t="s">
        <v>463</v>
      </c>
      <c r="E131" s="165" t="s">
        <v>362</v>
      </c>
      <c r="F131" s="165" t="s">
        <v>251</v>
      </c>
      <c r="G131" s="180" t="s">
        <v>2</v>
      </c>
      <c r="H131" s="68">
        <v>184740000</v>
      </c>
      <c r="I131" s="60">
        <v>184740000</v>
      </c>
      <c r="J131" s="166">
        <v>1E-4</v>
      </c>
      <c r="K131" s="60"/>
      <c r="L131" s="60">
        <f>31700</f>
        <v>31700</v>
      </c>
      <c r="M131" s="176">
        <f t="shared" si="7"/>
        <v>184740000</v>
      </c>
      <c r="N131" s="146" t="s">
        <v>252</v>
      </c>
      <c r="O131" s="206"/>
      <c r="P131" s="15"/>
      <c r="Q131" s="5"/>
    </row>
    <row r="132" spans="1:17" s="4" customFormat="1" ht="121.5" outlineLevel="1" x14ac:dyDescent="0.25">
      <c r="A132" s="156">
        <v>89</v>
      </c>
      <c r="B132" s="171" t="s">
        <v>253</v>
      </c>
      <c r="C132" s="171" t="s">
        <v>202</v>
      </c>
      <c r="D132" s="163" t="s">
        <v>463</v>
      </c>
      <c r="E132" s="165" t="s">
        <v>362</v>
      </c>
      <c r="F132" s="165" t="s">
        <v>254</v>
      </c>
      <c r="G132" s="180" t="s">
        <v>2</v>
      </c>
      <c r="H132" s="68">
        <v>219559596</v>
      </c>
      <c r="I132" s="60">
        <v>219559596</v>
      </c>
      <c r="J132" s="166">
        <v>1E-4</v>
      </c>
      <c r="K132" s="60">
        <f>16889200+16889200+185781196</f>
        <v>219559596</v>
      </c>
      <c r="L132" s="60">
        <f>5294+5294+27550+5533+1000</f>
        <v>44671</v>
      </c>
      <c r="M132" s="176">
        <f t="shared" si="7"/>
        <v>0</v>
      </c>
      <c r="N132" s="146" t="s">
        <v>438</v>
      </c>
      <c r="O132" s="206"/>
      <c r="P132" s="15"/>
      <c r="Q132" s="5"/>
    </row>
    <row r="133" spans="1:17" s="4" customFormat="1" ht="121.5" outlineLevel="1" x14ac:dyDescent="0.25">
      <c r="A133" s="156">
        <v>90</v>
      </c>
      <c r="B133" s="171" t="s">
        <v>255</v>
      </c>
      <c r="C133" s="171" t="s">
        <v>202</v>
      </c>
      <c r="D133" s="163" t="s">
        <v>463</v>
      </c>
      <c r="E133" s="165" t="s">
        <v>362</v>
      </c>
      <c r="F133" s="165" t="s">
        <v>251</v>
      </c>
      <c r="G133" s="180" t="s">
        <v>2</v>
      </c>
      <c r="H133" s="68">
        <v>29081500</v>
      </c>
      <c r="I133" s="60">
        <v>29081500</v>
      </c>
      <c r="J133" s="166">
        <v>1E-4</v>
      </c>
      <c r="K133" s="60"/>
      <c r="L133" s="60">
        <f>1000+4000+3000+1000</f>
        <v>9000</v>
      </c>
      <c r="M133" s="176">
        <f t="shared" si="7"/>
        <v>29081500</v>
      </c>
      <c r="N133" s="146" t="s">
        <v>256</v>
      </c>
      <c r="O133" s="206"/>
      <c r="P133" s="15"/>
      <c r="Q133" s="5"/>
    </row>
    <row r="134" spans="1:17" s="4" customFormat="1" ht="123" customHeight="1" outlineLevel="1" thickBot="1" x14ac:dyDescent="0.3">
      <c r="A134" s="71">
        <v>91</v>
      </c>
      <c r="B134" s="208" t="s">
        <v>257</v>
      </c>
      <c r="C134" s="208" t="s">
        <v>202</v>
      </c>
      <c r="D134" s="194" t="s">
        <v>463</v>
      </c>
      <c r="E134" s="165" t="s">
        <v>362</v>
      </c>
      <c r="F134" s="165" t="s">
        <v>258</v>
      </c>
      <c r="G134" s="180" t="s">
        <v>2</v>
      </c>
      <c r="H134" s="68">
        <v>12060940</v>
      </c>
      <c r="I134" s="79">
        <v>12060940</v>
      </c>
      <c r="J134" s="166">
        <v>1E-4</v>
      </c>
      <c r="K134" s="60"/>
      <c r="L134" s="60">
        <v>2170</v>
      </c>
      <c r="M134" s="176">
        <f t="shared" si="7"/>
        <v>12060940</v>
      </c>
      <c r="N134" s="146" t="s">
        <v>259</v>
      </c>
      <c r="O134" s="206"/>
      <c r="P134" s="15"/>
      <c r="Q134" s="5"/>
    </row>
    <row r="135" spans="1:17" s="9" customFormat="1" ht="30" customHeight="1" x14ac:dyDescent="0.25">
      <c r="A135" s="375" t="s">
        <v>437</v>
      </c>
      <c r="B135" s="376"/>
      <c r="C135" s="376"/>
      <c r="D135" s="377" t="s">
        <v>29</v>
      </c>
      <c r="E135" s="394"/>
      <c r="F135" s="395"/>
      <c r="G135" s="101"/>
      <c r="H135" s="10">
        <f>SUMIF($G$114:$G$134,D135,$H$114:$H$134)</f>
        <v>0</v>
      </c>
      <c r="I135" s="13">
        <f>SUMIF($G$104:$G$134,D135,$I$104:$I$134)</f>
        <v>0</v>
      </c>
      <c r="J135" s="13"/>
      <c r="K135" s="11">
        <f>SUMIF($G$114:$G$134,D135,$K$114:$K$134)</f>
        <v>0</v>
      </c>
      <c r="L135" s="13">
        <f>SUMIF($G$104:$G$134,D135,$L$104:$L$134)</f>
        <v>0</v>
      </c>
      <c r="M135" s="13">
        <f>SUMIF($G$104:$G$134,D135,$M$104:$M$134)</f>
        <v>0</v>
      </c>
      <c r="N135" s="147"/>
      <c r="O135" s="193"/>
      <c r="P135" s="8"/>
      <c r="Q135" s="5"/>
    </row>
    <row r="136" spans="1:17" s="9" customFormat="1" ht="27" customHeight="1" x14ac:dyDescent="0.25">
      <c r="A136" s="361"/>
      <c r="B136" s="362"/>
      <c r="C136" s="362"/>
      <c r="D136" s="380" t="s">
        <v>2</v>
      </c>
      <c r="E136" s="381"/>
      <c r="F136" s="382"/>
      <c r="G136" s="54"/>
      <c r="H136" s="11">
        <f>SUMIF($G$114:$G$134,D136,$H$114:$H$134)</f>
        <v>2011462986</v>
      </c>
      <c r="I136" s="11">
        <f>SUMIF($G$114:$G$134,D136,$I$114:$I$134)</f>
        <v>2011462986</v>
      </c>
      <c r="J136" s="11"/>
      <c r="K136" s="11">
        <f>SUMIF($G$114:$G$134,D136,$K$114:$K$134)</f>
        <v>623624650.20000005</v>
      </c>
      <c r="L136" s="11">
        <f>SUMIF($G$114:$G$134,D136,$L$114:$L$134)</f>
        <v>515765.2</v>
      </c>
      <c r="M136" s="11">
        <f>SUMIF($G$114:$G$134,D136,$M$114:$M$134)</f>
        <v>1388835135</v>
      </c>
      <c r="N136" s="148"/>
      <c r="O136" s="197"/>
      <c r="P136" s="8"/>
      <c r="Q136" s="5"/>
    </row>
    <row r="137" spans="1:17" s="9" customFormat="1" ht="28.5" customHeight="1" x14ac:dyDescent="0.25">
      <c r="A137" s="361"/>
      <c r="B137" s="362"/>
      <c r="C137" s="362"/>
      <c r="D137" s="380" t="s">
        <v>51</v>
      </c>
      <c r="E137" s="381"/>
      <c r="F137" s="382"/>
      <c r="G137" s="54"/>
      <c r="H137" s="11">
        <f>SUMIF($G$114:$G$134,D137,$H$114:$H$134)</f>
        <v>0</v>
      </c>
      <c r="I137" s="11">
        <f>SUMIF($G$104:$G$134,D137,$I$104:$I$134)</f>
        <v>0</v>
      </c>
      <c r="J137" s="11"/>
      <c r="K137" s="11">
        <f>SUMIF($G$104:$G$134,D137,$K$104:$K$134)</f>
        <v>0</v>
      </c>
      <c r="L137" s="11">
        <f>SUMIF($G$104:$G$134,D137,$L$104:$L$134)</f>
        <v>0</v>
      </c>
      <c r="M137" s="11">
        <f>SUMIF($G$104:$G$134,D137,$M$104:$M$134)</f>
        <v>0</v>
      </c>
      <c r="N137" s="148"/>
      <c r="O137" s="197"/>
      <c r="P137" s="8"/>
      <c r="Q137" s="5"/>
    </row>
    <row r="138" spans="1:17" s="9" customFormat="1" ht="30" customHeight="1" thickBot="1" x14ac:dyDescent="0.3">
      <c r="A138" s="391"/>
      <c r="B138" s="392"/>
      <c r="C138" s="392"/>
      <c r="D138" s="366" t="s">
        <v>71</v>
      </c>
      <c r="E138" s="367"/>
      <c r="F138" s="368"/>
      <c r="G138" s="57"/>
      <c r="H138" s="12">
        <f>SUMIF($G$114:$G$134,D138,$H$114:$H$134)</f>
        <v>0</v>
      </c>
      <c r="I138" s="12">
        <f>SUMIF($G$104:$G$134,D138,$I$104:$I$134)</f>
        <v>0</v>
      </c>
      <c r="J138" s="12"/>
      <c r="K138" s="12">
        <f>SUMIF($G$104:$G$134,D138,$K$104:$K$134)</f>
        <v>0</v>
      </c>
      <c r="L138" s="12">
        <f>SUMIF($G$104:$G$134,D138,$L$104:$L$134)</f>
        <v>0</v>
      </c>
      <c r="M138" s="12">
        <f>SUMIF($G$104:$G$134,D138,$M$104:$M$134)</f>
        <v>0</v>
      </c>
      <c r="N138" s="150"/>
      <c r="O138" s="196"/>
      <c r="P138" s="8"/>
      <c r="Q138" s="5"/>
    </row>
    <row r="139" spans="1:17" s="9" customFormat="1" ht="15.75" customHeight="1" x14ac:dyDescent="0.25">
      <c r="A139" s="359" t="s">
        <v>260</v>
      </c>
      <c r="B139" s="360"/>
      <c r="C139" s="396"/>
      <c r="D139" s="379" t="s">
        <v>29</v>
      </c>
      <c r="E139" s="399"/>
      <c r="F139" s="399"/>
      <c r="G139" s="80"/>
      <c r="H139" s="14">
        <f t="shared" ref="H139:M142" si="8">H46+H57+H68+H100+H110+H135</f>
        <v>340755742.28000003</v>
      </c>
      <c r="I139" s="14">
        <f t="shared" si="8"/>
        <v>141932627.11000001</v>
      </c>
      <c r="J139" s="14">
        <f t="shared" si="8"/>
        <v>0</v>
      </c>
      <c r="K139" s="14">
        <f t="shared" si="8"/>
        <v>50627856.139612287</v>
      </c>
      <c r="L139" s="14">
        <f t="shared" si="8"/>
        <v>19389223.196404777</v>
      </c>
      <c r="M139" s="14">
        <f t="shared" si="8"/>
        <v>92066339.400387689</v>
      </c>
      <c r="N139" s="152"/>
      <c r="O139" s="193"/>
      <c r="P139" s="8"/>
      <c r="Q139" s="5"/>
    </row>
    <row r="140" spans="1:17" s="9" customFormat="1" ht="17.25" customHeight="1" x14ac:dyDescent="0.25">
      <c r="A140" s="361"/>
      <c r="B140" s="362"/>
      <c r="C140" s="397"/>
      <c r="D140" s="382" t="s">
        <v>2</v>
      </c>
      <c r="E140" s="364"/>
      <c r="F140" s="364"/>
      <c r="G140" s="80"/>
      <c r="H140" s="14">
        <f t="shared" si="8"/>
        <v>179740663940.10001</v>
      </c>
      <c r="I140" s="14">
        <f t="shared" si="8"/>
        <v>198631078942.10999</v>
      </c>
      <c r="J140" s="14">
        <f t="shared" si="8"/>
        <v>0</v>
      </c>
      <c r="K140" s="14">
        <f t="shared" si="8"/>
        <v>97381147995.044724</v>
      </c>
      <c r="L140" s="14">
        <f t="shared" si="8"/>
        <v>47488691505.269478</v>
      </c>
      <c r="M140" s="14">
        <f t="shared" si="8"/>
        <v>101250927746.26526</v>
      </c>
      <c r="N140" s="148"/>
      <c r="O140" s="197"/>
      <c r="P140" s="8"/>
      <c r="Q140" s="5"/>
    </row>
    <row r="141" spans="1:17" s="9" customFormat="1" ht="15" customHeight="1" x14ac:dyDescent="0.25">
      <c r="A141" s="361"/>
      <c r="B141" s="362"/>
      <c r="C141" s="397"/>
      <c r="D141" s="382" t="s">
        <v>51</v>
      </c>
      <c r="E141" s="364"/>
      <c r="F141" s="364"/>
      <c r="G141" s="54"/>
      <c r="H141" s="14">
        <f t="shared" si="8"/>
        <v>481140620.32000005</v>
      </c>
      <c r="I141" s="14">
        <f t="shared" si="8"/>
        <v>361808647.42000002</v>
      </c>
      <c r="J141" s="14">
        <f t="shared" si="8"/>
        <v>0</v>
      </c>
      <c r="K141" s="14">
        <f t="shared" si="8"/>
        <v>115389872.29957025</v>
      </c>
      <c r="L141" s="14">
        <f t="shared" si="8"/>
        <v>63336232.260840118</v>
      </c>
      <c r="M141" s="14">
        <f t="shared" si="8"/>
        <v>246418775.12042975</v>
      </c>
      <c r="N141" s="148"/>
      <c r="O141" s="197"/>
      <c r="P141" s="8"/>
      <c r="Q141" s="5"/>
    </row>
    <row r="142" spans="1:17" s="9" customFormat="1" ht="25.5" customHeight="1" thickBot="1" x14ac:dyDescent="0.3">
      <c r="A142" s="391"/>
      <c r="B142" s="392"/>
      <c r="C142" s="398"/>
      <c r="D142" s="400" t="s">
        <v>71</v>
      </c>
      <c r="E142" s="365"/>
      <c r="F142" s="365"/>
      <c r="G142" s="55"/>
      <c r="H142" s="14">
        <f t="shared" si="8"/>
        <v>31777311969</v>
      </c>
      <c r="I142" s="14">
        <f t="shared" si="8"/>
        <v>31859249643</v>
      </c>
      <c r="J142" s="14">
        <f t="shared" si="8"/>
        <v>0</v>
      </c>
      <c r="K142" s="14">
        <f t="shared" si="8"/>
        <v>11745743548.709158</v>
      </c>
      <c r="L142" s="14">
        <f t="shared" si="8"/>
        <v>3501920555.228754</v>
      </c>
      <c r="M142" s="14">
        <f t="shared" si="8"/>
        <v>20113506094.29084</v>
      </c>
      <c r="N142" s="149"/>
      <c r="O142" s="196"/>
      <c r="P142" s="8"/>
      <c r="Q142" s="5"/>
    </row>
    <row r="143" spans="1:17" s="9" customFormat="1" ht="15" customHeight="1" thickBot="1" x14ac:dyDescent="0.3">
      <c r="A143" s="391"/>
      <c r="B143" s="392"/>
      <c r="C143" s="398"/>
      <c r="D143" s="390" t="s">
        <v>61</v>
      </c>
      <c r="E143" s="381"/>
      <c r="F143" s="382"/>
      <c r="G143" s="55"/>
      <c r="H143" s="14">
        <f>H50</f>
        <v>24086688</v>
      </c>
      <c r="I143" s="14">
        <f t="shared" ref="I143:M143" si="9">I50</f>
        <v>18384172.012149811</v>
      </c>
      <c r="J143" s="14">
        <f t="shared" si="9"/>
        <v>0</v>
      </c>
      <c r="K143" s="14">
        <f t="shared" si="9"/>
        <v>3889303.4021576373</v>
      </c>
      <c r="L143" s="14">
        <f t="shared" si="9"/>
        <v>2687639.4595199237</v>
      </c>
      <c r="M143" s="14">
        <f t="shared" si="9"/>
        <v>14494868.609992173</v>
      </c>
      <c r="N143" s="149"/>
      <c r="O143" s="199"/>
      <c r="P143" s="8"/>
      <c r="Q143" s="5"/>
    </row>
    <row r="144" spans="1:17" ht="51" customHeight="1" thickBot="1" x14ac:dyDescent="0.3">
      <c r="A144" s="210">
        <v>96</v>
      </c>
      <c r="B144" s="209" t="s">
        <v>261</v>
      </c>
      <c r="C144" s="83" t="s">
        <v>262</v>
      </c>
      <c r="D144" s="83" t="s">
        <v>463</v>
      </c>
      <c r="E144" s="83" t="s">
        <v>363</v>
      </c>
      <c r="F144" s="83" t="s">
        <v>263</v>
      </c>
      <c r="G144" s="83" t="s">
        <v>2</v>
      </c>
      <c r="H144" s="84">
        <f>834800635300+144000000000+32000000000+132000000000+3500000000+14000000000+2900000000+4000000000</f>
        <v>1167200635300</v>
      </c>
      <c r="I144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J144" s="102">
        <v>1E-4</v>
      </c>
      <c r="K144" s="85"/>
      <c r="L144" s="85"/>
      <c r="M144" s="86">
        <f>I144-K144</f>
        <v>1161789822801.3999</v>
      </c>
      <c r="N144" s="153" t="s">
        <v>76</v>
      </c>
      <c r="O144" s="207"/>
      <c r="Q144" s="9"/>
    </row>
    <row r="145" spans="1:17" ht="21" customHeight="1" x14ac:dyDescent="0.25">
      <c r="A145" s="188"/>
      <c r="B145" s="211"/>
      <c r="C145" s="188"/>
      <c r="D145" s="188"/>
      <c r="E145" s="188"/>
      <c r="F145" s="188"/>
      <c r="G145" s="188"/>
      <c r="H145" s="212"/>
      <c r="I145" s="213"/>
      <c r="J145" s="214"/>
      <c r="K145" s="213"/>
      <c r="L145" s="213"/>
      <c r="M145" s="215"/>
      <c r="N145" s="188"/>
      <c r="O145" s="8"/>
      <c r="Q145" s="9"/>
    </row>
    <row r="146" spans="1:17" ht="17.25" x14ac:dyDescent="0.3">
      <c r="B146" s="87" t="s">
        <v>2</v>
      </c>
      <c r="C146" s="88"/>
      <c r="G146" s="90"/>
      <c r="H146" s="16"/>
      <c r="I146" s="16"/>
      <c r="M146" s="92"/>
      <c r="N146" s="18"/>
    </row>
    <row r="147" spans="1:17" ht="17.25" x14ac:dyDescent="0.3">
      <c r="B147" s="87" t="s">
        <v>51</v>
      </c>
      <c r="C147" s="88">
        <v>404.32</v>
      </c>
      <c r="H147" s="16"/>
      <c r="I147" s="17"/>
      <c r="J147" s="93"/>
      <c r="L147" s="16"/>
      <c r="M147" s="94"/>
      <c r="N147" s="95"/>
    </row>
    <row r="148" spans="1:17" ht="17.25" x14ac:dyDescent="0.3">
      <c r="B148" s="87" t="s">
        <v>71</v>
      </c>
      <c r="C148" s="96">
        <v>2.6840000000000002</v>
      </c>
      <c r="I148" s="16"/>
      <c r="L148" s="16"/>
      <c r="M148" s="190"/>
      <c r="N148" s="97"/>
    </row>
    <row r="149" spans="1:17" ht="17.25" x14ac:dyDescent="0.3">
      <c r="B149" s="87" t="s">
        <v>29</v>
      </c>
      <c r="C149" s="88">
        <v>437.27</v>
      </c>
      <c r="I149" s="17"/>
      <c r="L149" s="16"/>
      <c r="M149" s="17"/>
      <c r="N149" s="97"/>
    </row>
    <row r="150" spans="1:17" ht="17.25" x14ac:dyDescent="0.3">
      <c r="B150" s="87" t="s">
        <v>61</v>
      </c>
      <c r="C150" s="88">
        <v>537.15</v>
      </c>
      <c r="L150" s="18"/>
      <c r="M150" s="16"/>
      <c r="N150" s="5"/>
    </row>
    <row r="151" spans="1:17" x14ac:dyDescent="0.25">
      <c r="N151" s="5"/>
    </row>
    <row r="152" spans="1:17" x14ac:dyDescent="0.25">
      <c r="M152" s="19"/>
    </row>
    <row r="153" spans="1:17" x14ac:dyDescent="0.25">
      <c r="I153" s="190"/>
      <c r="L153" s="16"/>
      <c r="M153" s="190"/>
    </row>
    <row r="154" spans="1:17" x14ac:dyDescent="0.25">
      <c r="M154" s="16"/>
    </row>
    <row r="155" spans="1:17" x14ac:dyDescent="0.25">
      <c r="M155" s="16"/>
    </row>
    <row r="159" spans="1:17" x14ac:dyDescent="0.25">
      <c r="M159" s="16"/>
    </row>
    <row r="160" spans="1:17" s="17" customFormat="1" x14ac:dyDescent="0.25">
      <c r="B160" s="20"/>
      <c r="C160" s="6"/>
      <c r="D160" s="6"/>
      <c r="E160" s="89"/>
      <c r="F160" s="6"/>
      <c r="G160" s="6"/>
      <c r="H160" s="6"/>
      <c r="I160" s="6"/>
      <c r="J160" s="91"/>
      <c r="K160" s="6"/>
      <c r="L160" s="6"/>
      <c r="M160" s="16"/>
      <c r="N160" s="6"/>
      <c r="O160" s="5"/>
      <c r="P160" s="5"/>
      <c r="Q160" s="6"/>
    </row>
    <row r="161" spans="17:17" x14ac:dyDescent="0.25">
      <c r="Q161" s="17"/>
    </row>
  </sheetData>
  <sheetProtection formatCells="0" formatColumns="0" formatRows="0"/>
  <protectedRanges>
    <protectedRange password="C670" sqref="N79:O91 E73:H76 E79:H91 I73:O76 I79:M91 A64:O67 A79:D91 A73:D76" name="Maria"/>
    <protectedRange algorithmName="SHA-512" hashValue="R0m7mG/o0t2+7dbQTzM5iQkFX2amgAS+iAGJudQnnweh07e6LDAbSuhvcwbzcp7drP+HIG4d/wHfMCXiBXmkow==" saltValue="hXh6Ce3lteSj/cvmR3BSBw==" spinCount="100000" sqref="N114:O134 N95:O97 N144:O145 A144:L145 A114:L134 A95:L97" name="Narine"/>
    <protectedRange algorithmName="SHA-512" hashValue="/qDn2zoAPl6XveVGTDHZcWIjR6P6fmKMYiOIx92BVGuoQ3TYOXlsDsoiDSLs1D9Ugjb3A3EixLJ11cGk8PSHvw==" saltValue="LV/JN9wntl8CkZ3QpoEkqA==" spinCount="100000" sqref="N61:O62 N97:O99 E97:L99 E61:L62 A61:D62 A97:D99" name="Nara"/>
    <protectedRange algorithmName="SHA-512" hashValue="2hnhy85Hze6pXZTujHMyiGA7lE9yapdzAMEgpTAQUbEvX5wkbgVJAYj8efzABUddHb+HHBXm+QO7FFQ7DdcL0Q==" saltValue="/3Se5MhqYIbXZuII16lL6A==" spinCount="100000" sqref="E104:H109 I104:O109 E72:O72 A72:D72 A104:D109" name="Nona"/>
  </protectedRanges>
  <mergeCells count="163">
    <mergeCell ref="D143:F143"/>
    <mergeCell ref="A135:C138"/>
    <mergeCell ref="D135:F135"/>
    <mergeCell ref="D136:F136"/>
    <mergeCell ref="D137:F137"/>
    <mergeCell ref="D138:F138"/>
    <mergeCell ref="A139:C143"/>
    <mergeCell ref="D139:F139"/>
    <mergeCell ref="D140:F140"/>
    <mergeCell ref="D141:F141"/>
    <mergeCell ref="D142:F142"/>
    <mergeCell ref="A110:C113"/>
    <mergeCell ref="D110:F110"/>
    <mergeCell ref="D111:F111"/>
    <mergeCell ref="D112:F112"/>
    <mergeCell ref="D113:F113"/>
    <mergeCell ref="A100:C103"/>
    <mergeCell ref="D100:F100"/>
    <mergeCell ref="D101:F101"/>
    <mergeCell ref="D102:F102"/>
    <mergeCell ref="D103:F103"/>
    <mergeCell ref="B105:B107"/>
    <mergeCell ref="C105:C107"/>
    <mergeCell ref="N86:N87"/>
    <mergeCell ref="A92:A93"/>
    <mergeCell ref="B92:B93"/>
    <mergeCell ref="C92:C93"/>
    <mergeCell ref="D92:D93"/>
    <mergeCell ref="E92:E93"/>
    <mergeCell ref="F92:F93"/>
    <mergeCell ref="N92:N93"/>
    <mergeCell ref="A75:A76"/>
    <mergeCell ref="B75:B76"/>
    <mergeCell ref="C75:C76"/>
    <mergeCell ref="F75:F76"/>
    <mergeCell ref="N80:N82"/>
    <mergeCell ref="A86:A87"/>
    <mergeCell ref="B86:B87"/>
    <mergeCell ref="C86:C87"/>
    <mergeCell ref="D86:D87"/>
    <mergeCell ref="E86:E87"/>
    <mergeCell ref="A57:C60"/>
    <mergeCell ref="D57:F57"/>
    <mergeCell ref="D58:F58"/>
    <mergeCell ref="D59:F59"/>
    <mergeCell ref="D60:F60"/>
    <mergeCell ref="A68:C71"/>
    <mergeCell ref="D68:F68"/>
    <mergeCell ref="D69:F69"/>
    <mergeCell ref="D70:F70"/>
    <mergeCell ref="D71:F71"/>
    <mergeCell ref="B52:B53"/>
    <mergeCell ref="N52:N53"/>
    <mergeCell ref="A55:A56"/>
    <mergeCell ref="B55:B56"/>
    <mergeCell ref="C55:C56"/>
    <mergeCell ref="N55:N56"/>
    <mergeCell ref="D44:D45"/>
    <mergeCell ref="J44:J45"/>
    <mergeCell ref="A46:C50"/>
    <mergeCell ref="D46:F46"/>
    <mergeCell ref="D47:F47"/>
    <mergeCell ref="D48:F48"/>
    <mergeCell ref="D49:F49"/>
    <mergeCell ref="D50:F50"/>
    <mergeCell ref="N34:N36"/>
    <mergeCell ref="A42:A43"/>
    <mergeCell ref="B42:B43"/>
    <mergeCell ref="C42:C43"/>
    <mergeCell ref="E42:E43"/>
    <mergeCell ref="F42:F43"/>
    <mergeCell ref="J42:J43"/>
    <mergeCell ref="N42:N43"/>
    <mergeCell ref="A34:A36"/>
    <mergeCell ref="B34:B36"/>
    <mergeCell ref="C34:C36"/>
    <mergeCell ref="D34:D36"/>
    <mergeCell ref="E34:E36"/>
    <mergeCell ref="E31:E32"/>
    <mergeCell ref="F31:F32"/>
    <mergeCell ref="A31:A32"/>
    <mergeCell ref="B31:B32"/>
    <mergeCell ref="C31:C32"/>
    <mergeCell ref="D31:D32"/>
    <mergeCell ref="C29:C30"/>
    <mergeCell ref="D29:D30"/>
    <mergeCell ref="C27:C28"/>
    <mergeCell ref="D27:D28"/>
    <mergeCell ref="J23:J24"/>
    <mergeCell ref="N23:N24"/>
    <mergeCell ref="O23:O24"/>
    <mergeCell ref="A25:A26"/>
    <mergeCell ref="B25:B26"/>
    <mergeCell ref="E25:E26"/>
    <mergeCell ref="F25:F26"/>
    <mergeCell ref="J25:J26"/>
    <mergeCell ref="N25:N26"/>
    <mergeCell ref="O25:O26"/>
    <mergeCell ref="E23:E24"/>
    <mergeCell ref="F23:F24"/>
    <mergeCell ref="A23:A24"/>
    <mergeCell ref="B23:B24"/>
    <mergeCell ref="C23:C26"/>
    <mergeCell ref="D23:D26"/>
    <mergeCell ref="N17:N18"/>
    <mergeCell ref="O17:O18"/>
    <mergeCell ref="A19:A20"/>
    <mergeCell ref="B19:B20"/>
    <mergeCell ref="C19:C22"/>
    <mergeCell ref="D19:D22"/>
    <mergeCell ref="A17:A18"/>
    <mergeCell ref="B17:B18"/>
    <mergeCell ref="C17:C18"/>
    <mergeCell ref="D17:D18"/>
    <mergeCell ref="E17:E18"/>
    <mergeCell ref="F17:F18"/>
    <mergeCell ref="O19:O20"/>
    <mergeCell ref="A21:A22"/>
    <mergeCell ref="B21:B22"/>
    <mergeCell ref="E21:E22"/>
    <mergeCell ref="F21:F22"/>
    <mergeCell ref="N21:N22"/>
    <mergeCell ref="O21:O22"/>
    <mergeCell ref="E19:E20"/>
    <mergeCell ref="F19:F20"/>
    <mergeCell ref="J19:J22"/>
    <mergeCell ref="N19:N20"/>
    <mergeCell ref="E15:E16"/>
    <mergeCell ref="F15:F16"/>
    <mergeCell ref="J15:J16"/>
    <mergeCell ref="N15:N16"/>
    <mergeCell ref="O15:O16"/>
    <mergeCell ref="N13:N14"/>
    <mergeCell ref="A15:A16"/>
    <mergeCell ref="B15:B16"/>
    <mergeCell ref="C15:C16"/>
    <mergeCell ref="D15:D16"/>
    <mergeCell ref="A13:A14"/>
    <mergeCell ref="B13:B14"/>
    <mergeCell ref="C13:C14"/>
    <mergeCell ref="E13:E14"/>
    <mergeCell ref="F13:F14"/>
    <mergeCell ref="J13:J14"/>
    <mergeCell ref="A1:N1"/>
    <mergeCell ref="A2:N2"/>
    <mergeCell ref="A5:A6"/>
    <mergeCell ref="B5:B6"/>
    <mergeCell ref="D5:D6"/>
    <mergeCell ref="E5:E6"/>
    <mergeCell ref="N9:N10"/>
    <mergeCell ref="A11:A12"/>
    <mergeCell ref="B11:B12"/>
    <mergeCell ref="C11:C12"/>
    <mergeCell ref="E11:E12"/>
    <mergeCell ref="F11:F12"/>
    <mergeCell ref="J11:J12"/>
    <mergeCell ref="N11:N12"/>
    <mergeCell ref="A9:A10"/>
    <mergeCell ref="B9:B10"/>
    <mergeCell ref="C9:C10"/>
    <mergeCell ref="E9:E10"/>
    <mergeCell ref="F9:F10"/>
    <mergeCell ref="J9:J10"/>
  </mergeCells>
  <conditionalFormatting sqref="I5">
    <cfRule type="cellIs" dxfId="9" priority="5" operator="notEqual">
      <formula>#REF!</formula>
    </cfRule>
  </conditionalFormatting>
  <conditionalFormatting sqref="I94 I6:I33 I35:I44">
    <cfRule type="cellIs" dxfId="8" priority="4" operator="notEqual">
      <formula>#REF!</formula>
    </cfRule>
  </conditionalFormatting>
  <conditionalFormatting sqref="H21">
    <cfRule type="cellIs" dxfId="7" priority="3" operator="notEqual">
      <formula>#REF!</formula>
    </cfRule>
  </conditionalFormatting>
  <conditionalFormatting sqref="I45">
    <cfRule type="cellIs" dxfId="6" priority="2" operator="notEqual">
      <formula>#REF!</formula>
    </cfRule>
  </conditionalFormatting>
  <conditionalFormatting sqref="I78">
    <cfRule type="cellIs" dxfId="5" priority="1" operator="notEqual">
      <formula>#REF!</formula>
    </cfRule>
  </conditionalFormatting>
  <pageMargins left="0" right="0" top="0.25" bottom="0.2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0"/>
  <sheetViews>
    <sheetView topLeftCell="A10" zoomScale="95" zoomScaleNormal="95" workbookViewId="0">
      <selection activeCell="D141" sqref="D141:L141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6.140625" style="6" customWidth="1"/>
    <col min="4" max="4" width="12.85546875" style="6" customWidth="1"/>
    <col min="5" max="5" width="16.140625" style="6" hidden="1" customWidth="1"/>
    <col min="6" max="6" width="21.5703125" style="6" hidden="1" customWidth="1"/>
    <col min="7" max="10" width="16.140625" style="6" hidden="1" customWidth="1"/>
    <col min="11" max="11" width="18.85546875" style="89" customWidth="1"/>
    <col min="12" max="12" width="20.140625" style="6" customWidth="1"/>
    <col min="13" max="13" width="16.42578125" style="6" bestFit="1" customWidth="1"/>
    <col min="14" max="14" width="21.28515625" style="6" customWidth="1"/>
    <col min="15" max="15" width="20.28515625" style="6" customWidth="1"/>
    <col min="16" max="16" width="21.7109375" style="91" customWidth="1"/>
    <col min="17" max="17" width="18.5703125" style="6" customWidth="1"/>
    <col min="18" max="18" width="18.85546875" style="6" bestFit="1" customWidth="1"/>
    <col min="19" max="19" width="26.7109375" style="6" bestFit="1" customWidth="1"/>
    <col min="20" max="20" width="26.42578125" style="6" customWidth="1"/>
    <col min="21" max="21" width="23.5703125" style="5" customWidth="1"/>
    <col min="22" max="22" width="21.85546875" style="6" customWidth="1"/>
    <col min="23" max="16384" width="9.140625" style="6"/>
  </cols>
  <sheetData>
    <row r="1" spans="1:22" ht="22.5" x14ac:dyDescent="0.4">
      <c r="A1" s="309" t="s">
        <v>12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</row>
    <row r="2" spans="1:22" ht="49.5" customHeight="1" x14ac:dyDescent="0.4">
      <c r="A2" s="310" t="s">
        <v>491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</row>
    <row r="3" spans="1:22" ht="38.25" customHeight="1" thickBot="1" x14ac:dyDescent="0.3">
      <c r="A3" s="7"/>
      <c r="C3" s="7"/>
      <c r="D3" s="7"/>
      <c r="E3" s="7"/>
      <c r="F3" s="7"/>
      <c r="G3" s="7"/>
      <c r="H3" s="7"/>
      <c r="I3" s="7"/>
      <c r="J3" s="7"/>
      <c r="K3" s="21"/>
      <c r="L3" s="7"/>
      <c r="M3" s="7"/>
      <c r="N3" s="7"/>
      <c r="O3" s="7"/>
      <c r="P3" s="22"/>
      <c r="Q3" s="7"/>
      <c r="R3" s="7"/>
      <c r="S3" s="7"/>
      <c r="T3" s="7"/>
    </row>
    <row r="4" spans="1:22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5" t="s">
        <v>17</v>
      </c>
      <c r="F4" s="24" t="s">
        <v>425</v>
      </c>
      <c r="G4" s="24" t="s">
        <v>426</v>
      </c>
      <c r="H4" s="24" t="s">
        <v>427</v>
      </c>
      <c r="I4" s="24" t="s">
        <v>428</v>
      </c>
      <c r="J4" s="24" t="s">
        <v>429</v>
      </c>
      <c r="K4" s="24" t="s">
        <v>298</v>
      </c>
      <c r="L4" s="24" t="s">
        <v>290</v>
      </c>
      <c r="M4" s="24" t="s">
        <v>17</v>
      </c>
      <c r="N4" s="24" t="s">
        <v>18</v>
      </c>
      <c r="O4" s="24" t="s">
        <v>19</v>
      </c>
      <c r="P4" s="26" t="s">
        <v>20</v>
      </c>
      <c r="Q4" s="24" t="s">
        <v>21</v>
      </c>
      <c r="R4" s="24" t="s">
        <v>22</v>
      </c>
      <c r="S4" s="24" t="s">
        <v>23</v>
      </c>
      <c r="T4" s="27" t="s">
        <v>24</v>
      </c>
      <c r="U4" s="1"/>
      <c r="V4" s="98"/>
    </row>
    <row r="5" spans="1:22" ht="60" customHeight="1" outlineLevel="1" x14ac:dyDescent="0.25">
      <c r="A5" s="311">
        <v>1</v>
      </c>
      <c r="B5" s="313" t="s">
        <v>25</v>
      </c>
      <c r="C5" s="28" t="s">
        <v>26</v>
      </c>
      <c r="D5" s="315" t="s">
        <v>27</v>
      </c>
      <c r="E5" s="315" t="s">
        <v>29</v>
      </c>
      <c r="F5" s="29">
        <v>7300000</v>
      </c>
      <c r="G5" s="29">
        <v>5822389.5</v>
      </c>
      <c r="H5" s="30">
        <v>7.4999999999999997E-3</v>
      </c>
      <c r="I5" s="244"/>
      <c r="J5" s="272">
        <f t="shared" ref="J5:J15" si="0">G5-I5</f>
        <v>5822389.5</v>
      </c>
      <c r="K5" s="317" t="s">
        <v>299</v>
      </c>
      <c r="L5" s="247" t="s">
        <v>28</v>
      </c>
      <c r="M5" s="31" t="s">
        <v>29</v>
      </c>
      <c r="N5" s="256">
        <v>7300000</v>
      </c>
      <c r="O5" s="280">
        <f>5822389.5+13412.1+4470.7+716451.75+24588.85+716451.75+2235.35</f>
        <v>7299999.9999999991</v>
      </c>
      <c r="P5" s="30" t="s">
        <v>30</v>
      </c>
      <c r="Q5" s="280">
        <f>595000+119000+119000+119000+119000+119000</f>
        <v>1190000</v>
      </c>
      <c r="R5" s="280">
        <v>652083.5</v>
      </c>
      <c r="S5" s="256">
        <f t="shared" ref="S5:S33" si="1">O5-Q5</f>
        <v>6109999.9999999991</v>
      </c>
      <c r="T5" s="278" t="s">
        <v>31</v>
      </c>
      <c r="V5" s="5"/>
    </row>
    <row r="6" spans="1:22" ht="75.75" customHeight="1" outlineLevel="1" x14ac:dyDescent="0.25">
      <c r="A6" s="312"/>
      <c r="B6" s="314"/>
      <c r="C6" s="33" t="s">
        <v>32</v>
      </c>
      <c r="D6" s="316"/>
      <c r="E6" s="316"/>
      <c r="F6" s="34">
        <v>7300000</v>
      </c>
      <c r="G6" s="34">
        <v>7300000</v>
      </c>
      <c r="H6" s="266" t="s">
        <v>34</v>
      </c>
      <c r="I6" s="265"/>
      <c r="J6" s="261">
        <f t="shared" si="0"/>
        <v>7300000</v>
      </c>
      <c r="K6" s="318"/>
      <c r="L6" s="264" t="s">
        <v>33</v>
      </c>
      <c r="M6" s="260" t="s">
        <v>29</v>
      </c>
      <c r="N6" s="280">
        <v>7300000</v>
      </c>
      <c r="O6" s="280">
        <v>7299999.9999999981</v>
      </c>
      <c r="P6" s="266" t="s">
        <v>34</v>
      </c>
      <c r="Q6" s="280">
        <f>5474999.9+304166.7+304166.7+304166.7+304166.7+304166.7</f>
        <v>6995833.4000000013</v>
      </c>
      <c r="R6" s="280">
        <f>1226756+8356.16</f>
        <v>1235112.1599999999</v>
      </c>
      <c r="S6" s="280">
        <f t="shared" si="1"/>
        <v>304166.59999999683</v>
      </c>
      <c r="T6" s="204" t="s">
        <v>35</v>
      </c>
      <c r="V6" s="5"/>
    </row>
    <row r="7" spans="1:22" ht="64.5" customHeight="1" outlineLevel="1" x14ac:dyDescent="0.25">
      <c r="A7" s="258">
        <v>2</v>
      </c>
      <c r="B7" s="259" t="s">
        <v>25</v>
      </c>
      <c r="C7" s="259" t="s">
        <v>36</v>
      </c>
      <c r="D7" s="264" t="s">
        <v>27</v>
      </c>
      <c r="E7" s="260" t="s">
        <v>29</v>
      </c>
      <c r="F7" s="34">
        <v>14060527</v>
      </c>
      <c r="G7" s="34">
        <v>14060527</v>
      </c>
      <c r="H7" s="279">
        <v>7.4999999999999997E-3</v>
      </c>
      <c r="I7" s="34">
        <v>3044232</v>
      </c>
      <c r="J7" s="261">
        <f t="shared" si="0"/>
        <v>11016295</v>
      </c>
      <c r="K7" s="263" t="s">
        <v>300</v>
      </c>
      <c r="L7" s="264" t="s">
        <v>37</v>
      </c>
      <c r="M7" s="260" t="s">
        <v>29</v>
      </c>
      <c r="N7" s="280">
        <v>14060526.73</v>
      </c>
      <c r="O7" s="280">
        <v>14060526.73</v>
      </c>
      <c r="P7" s="279">
        <v>7.4999999999999997E-3</v>
      </c>
      <c r="Q7" s="280">
        <f>5858552.73979552+234342.1+234342.1+98055764.9/418.43+98932204.4/422.17+104987604.2/448.01</f>
        <v>7030263.2398433303</v>
      </c>
      <c r="R7" s="280">
        <f>1294472.69934396+40254.3+39195.3+16095956/418.43+15796672.6/422.17+16433280.1/448.01</f>
        <v>1486488.2092536527</v>
      </c>
      <c r="S7" s="280">
        <f t="shared" si="1"/>
        <v>7030263.4901566701</v>
      </c>
      <c r="T7" s="204" t="s">
        <v>31</v>
      </c>
      <c r="V7" s="5"/>
    </row>
    <row r="8" spans="1:22" ht="67.5" outlineLevel="1" x14ac:dyDescent="0.25">
      <c r="A8" s="258">
        <v>3</v>
      </c>
      <c r="B8" s="259" t="s">
        <v>25</v>
      </c>
      <c r="C8" s="259" t="s">
        <v>38</v>
      </c>
      <c r="D8" s="264" t="s">
        <v>27</v>
      </c>
      <c r="E8" s="260" t="s">
        <v>29</v>
      </c>
      <c r="F8" s="34">
        <v>75000000</v>
      </c>
      <c r="G8" s="34">
        <v>0</v>
      </c>
      <c r="H8" s="279">
        <v>1.8499999999999999E-2</v>
      </c>
      <c r="I8" s="265"/>
      <c r="J8" s="261">
        <f t="shared" si="0"/>
        <v>0</v>
      </c>
      <c r="K8" s="263" t="s">
        <v>301</v>
      </c>
      <c r="L8" s="264" t="s">
        <v>39</v>
      </c>
      <c r="M8" s="260" t="s">
        <v>29</v>
      </c>
      <c r="N8" s="280">
        <v>75000000</v>
      </c>
      <c r="O8" s="280"/>
      <c r="P8" s="279" t="s">
        <v>40</v>
      </c>
      <c r="Q8" s="280"/>
      <c r="R8" s="280">
        <f>1932812.5+93750+93750+93750+93750+42000937.5/448.01</f>
        <v>2401562.5</v>
      </c>
      <c r="S8" s="280">
        <f t="shared" si="1"/>
        <v>0</v>
      </c>
      <c r="T8" s="204" t="s">
        <v>35</v>
      </c>
      <c r="V8" s="5"/>
    </row>
    <row r="9" spans="1:22" ht="57.75" customHeight="1" outlineLevel="1" x14ac:dyDescent="0.25">
      <c r="A9" s="321">
        <v>4</v>
      </c>
      <c r="B9" s="322" t="s">
        <v>25</v>
      </c>
      <c r="C9" s="322" t="s">
        <v>38</v>
      </c>
      <c r="D9" s="264" t="s">
        <v>27</v>
      </c>
      <c r="E9" s="260" t="s">
        <v>29</v>
      </c>
      <c r="F9" s="34">
        <v>10200000</v>
      </c>
      <c r="G9" s="34">
        <v>0</v>
      </c>
      <c r="H9" s="279">
        <v>7.4999999999999997E-3</v>
      </c>
      <c r="I9" s="266"/>
      <c r="J9" s="261">
        <f t="shared" si="0"/>
        <v>0</v>
      </c>
      <c r="K9" s="323" t="s">
        <v>301</v>
      </c>
      <c r="L9" s="324" t="s">
        <v>41</v>
      </c>
      <c r="M9" s="260" t="s">
        <v>29</v>
      </c>
      <c r="N9" s="280">
        <v>10200000</v>
      </c>
      <c r="O9" s="280">
        <f>1075381.69+59500</f>
        <v>1134881.69</v>
      </c>
      <c r="P9" s="325" t="s">
        <v>30</v>
      </c>
      <c r="Q9" s="280">
        <v>0</v>
      </c>
      <c r="R9" s="280">
        <f>200690.672577969+15587.2+6522152.1/418.43+6580448.3/422.17+6983221.5/448.01</f>
        <v>263039.47283004946</v>
      </c>
      <c r="S9" s="280">
        <f>O9-Q9</f>
        <v>1134881.69</v>
      </c>
      <c r="T9" s="401" t="s">
        <v>35</v>
      </c>
      <c r="V9" s="5"/>
    </row>
    <row r="10" spans="1:22" ht="57.75" customHeight="1" outlineLevel="1" x14ac:dyDescent="0.25">
      <c r="A10" s="311"/>
      <c r="B10" s="314"/>
      <c r="C10" s="314"/>
      <c r="D10" s="264" t="s">
        <v>463</v>
      </c>
      <c r="E10" s="260"/>
      <c r="F10" s="34"/>
      <c r="G10" s="34"/>
      <c r="H10" s="279"/>
      <c r="I10" s="266"/>
      <c r="J10" s="261"/>
      <c r="K10" s="317"/>
      <c r="L10" s="315"/>
      <c r="M10" s="260" t="s">
        <v>2</v>
      </c>
      <c r="N10" s="280"/>
      <c r="O10" s="280">
        <v>244081445</v>
      </c>
      <c r="P10" s="326"/>
      <c r="Q10" s="280"/>
      <c r="R10" s="280">
        <f>9774294.3+915305.4+915305.4+915305.4</f>
        <v>12520210.500000002</v>
      </c>
      <c r="S10" s="280">
        <f>O10-Q10</f>
        <v>244081445</v>
      </c>
      <c r="T10" s="402"/>
      <c r="V10" s="5"/>
    </row>
    <row r="11" spans="1:22" ht="76.5" customHeight="1" outlineLevel="1" x14ac:dyDescent="0.25">
      <c r="A11" s="321">
        <v>5</v>
      </c>
      <c r="B11" s="322" t="s">
        <v>25</v>
      </c>
      <c r="C11" s="322" t="s">
        <v>42</v>
      </c>
      <c r="D11" s="264" t="s">
        <v>126</v>
      </c>
      <c r="E11" s="260"/>
      <c r="F11" s="34"/>
      <c r="G11" s="34"/>
      <c r="H11" s="279"/>
      <c r="I11" s="266"/>
      <c r="J11" s="261"/>
      <c r="K11" s="323" t="s">
        <v>302</v>
      </c>
      <c r="L11" s="324" t="s">
        <v>43</v>
      </c>
      <c r="M11" s="260" t="s">
        <v>29</v>
      </c>
      <c r="N11" s="280">
        <v>10000000</v>
      </c>
      <c r="O11" s="280"/>
      <c r="P11" s="325" t="s">
        <v>44</v>
      </c>
      <c r="Q11" s="280"/>
      <c r="R11" s="280">
        <v>50000</v>
      </c>
      <c r="S11" s="280">
        <f>O11-Q11</f>
        <v>0</v>
      </c>
      <c r="T11" s="401" t="s">
        <v>45</v>
      </c>
      <c r="V11" s="5"/>
    </row>
    <row r="12" spans="1:22" ht="76.5" customHeight="1" outlineLevel="1" x14ac:dyDescent="0.25">
      <c r="A12" s="311"/>
      <c r="B12" s="314"/>
      <c r="C12" s="314"/>
      <c r="D12" s="264" t="s">
        <v>463</v>
      </c>
      <c r="E12" s="260"/>
      <c r="F12" s="34"/>
      <c r="G12" s="34"/>
      <c r="H12" s="279"/>
      <c r="I12" s="266"/>
      <c r="J12" s="261"/>
      <c r="K12" s="317"/>
      <c r="L12" s="315"/>
      <c r="M12" s="264" t="s">
        <v>2</v>
      </c>
      <c r="N12" s="280"/>
      <c r="O12" s="280"/>
      <c r="P12" s="326"/>
      <c r="Q12" s="280"/>
      <c r="R12" s="280"/>
      <c r="S12" s="280">
        <f t="shared" si="1"/>
        <v>0</v>
      </c>
      <c r="T12" s="402"/>
      <c r="V12" s="5"/>
    </row>
    <row r="13" spans="1:22" ht="76.5" customHeight="1" outlineLevel="1" x14ac:dyDescent="0.25">
      <c r="A13" s="321">
        <v>6</v>
      </c>
      <c r="B13" s="322" t="s">
        <v>25</v>
      </c>
      <c r="C13" s="322" t="s">
        <v>46</v>
      </c>
      <c r="D13" s="264" t="s">
        <v>27</v>
      </c>
      <c r="E13" s="260"/>
      <c r="F13" s="34"/>
      <c r="G13" s="34"/>
      <c r="H13" s="279"/>
      <c r="I13" s="266"/>
      <c r="J13" s="261"/>
      <c r="K13" s="323" t="s">
        <v>303</v>
      </c>
      <c r="L13" s="324" t="s">
        <v>47</v>
      </c>
      <c r="M13" s="260" t="s">
        <v>29</v>
      </c>
      <c r="N13" s="280">
        <v>83000000</v>
      </c>
      <c r="O13" s="280"/>
      <c r="P13" s="325" t="s">
        <v>464</v>
      </c>
      <c r="Q13" s="280"/>
      <c r="R13" s="280">
        <f>1930326.40003794+103750+103750+103750+103750+46481037.5/448.01</f>
        <v>2449076.4000379397</v>
      </c>
      <c r="S13" s="280">
        <f t="shared" si="1"/>
        <v>0</v>
      </c>
      <c r="T13" s="401" t="s">
        <v>35</v>
      </c>
      <c r="V13" s="5"/>
    </row>
    <row r="14" spans="1:22" ht="76.5" customHeight="1" outlineLevel="1" x14ac:dyDescent="0.25">
      <c r="A14" s="311"/>
      <c r="B14" s="314"/>
      <c r="C14" s="314"/>
      <c r="D14" s="264" t="s">
        <v>463</v>
      </c>
      <c r="E14" s="260"/>
      <c r="F14" s="34"/>
      <c r="G14" s="34"/>
      <c r="H14" s="279"/>
      <c r="I14" s="266"/>
      <c r="J14" s="261"/>
      <c r="K14" s="317"/>
      <c r="L14" s="315"/>
      <c r="M14" s="264" t="s">
        <v>2</v>
      </c>
      <c r="N14" s="280"/>
      <c r="O14" s="280"/>
      <c r="P14" s="326"/>
      <c r="Q14" s="280"/>
      <c r="R14" s="280"/>
      <c r="S14" s="280">
        <f t="shared" si="1"/>
        <v>0</v>
      </c>
      <c r="T14" s="402"/>
      <c r="U14" s="8"/>
      <c r="V14" s="5"/>
    </row>
    <row r="15" spans="1:22" ht="96.75" customHeight="1" outlineLevel="1" x14ac:dyDescent="0.25">
      <c r="A15" s="312">
        <v>7</v>
      </c>
      <c r="B15" s="322" t="s">
        <v>25</v>
      </c>
      <c r="C15" s="322" t="s">
        <v>48</v>
      </c>
      <c r="D15" s="316" t="s">
        <v>49</v>
      </c>
      <c r="E15" s="328" t="s">
        <v>51</v>
      </c>
      <c r="F15" s="329">
        <v>39000000</v>
      </c>
      <c r="G15" s="329">
        <f>18026903.76+130476.4+43674.47+204502+159552.28+20280.3+101559+88268.89+153855.7+63854.08</f>
        <v>18992926.879999999</v>
      </c>
      <c r="H15" s="328" t="s">
        <v>430</v>
      </c>
      <c r="I15" s="327"/>
      <c r="J15" s="327">
        <f t="shared" si="0"/>
        <v>18992926.879999999</v>
      </c>
      <c r="K15" s="318" t="s">
        <v>304</v>
      </c>
      <c r="L15" s="316" t="s">
        <v>50</v>
      </c>
      <c r="M15" s="260" t="s">
        <v>51</v>
      </c>
      <c r="N15" s="280">
        <f>35500000-1434414.8</f>
        <v>34065585.200000003</v>
      </c>
      <c r="O15" s="280">
        <v>34065585.200000003</v>
      </c>
      <c r="P15" s="328" t="s">
        <v>367</v>
      </c>
      <c r="Q15" s="280">
        <f>3406558.5+438685248.4/386.33+457603003.3/402.99</f>
        <v>5677597.4998969967</v>
      </c>
      <c r="R15" s="280">
        <f>6927866.15+372600334/386.33+433310604.9/402.99</f>
        <v>8967566.5499026012</v>
      </c>
      <c r="S15" s="280">
        <f t="shared" si="1"/>
        <v>28387987.700103007</v>
      </c>
      <c r="T15" s="401" t="s">
        <v>52</v>
      </c>
      <c r="U15" s="8"/>
      <c r="V15" s="5"/>
    </row>
    <row r="16" spans="1:22" ht="68.25" customHeight="1" outlineLevel="1" x14ac:dyDescent="0.25">
      <c r="A16" s="312"/>
      <c r="B16" s="314"/>
      <c r="C16" s="314"/>
      <c r="D16" s="316"/>
      <c r="E16" s="328"/>
      <c r="F16" s="329"/>
      <c r="G16" s="329"/>
      <c r="H16" s="328"/>
      <c r="I16" s="327"/>
      <c r="J16" s="327"/>
      <c r="K16" s="318"/>
      <c r="L16" s="316"/>
      <c r="M16" s="264" t="s">
        <v>2</v>
      </c>
      <c r="N16" s="280"/>
      <c r="O16" s="280">
        <v>3680136115.8000002</v>
      </c>
      <c r="P16" s="328"/>
      <c r="Q16" s="280">
        <f>387003402.1+121967878.3+121967878.3</f>
        <v>630939158.70000005</v>
      </c>
      <c r="R16" s="280">
        <f>743758864.24+103594252.5+115493072.7</f>
        <v>962846189.44000006</v>
      </c>
      <c r="S16" s="280">
        <f t="shared" si="1"/>
        <v>3049196957.1000004</v>
      </c>
      <c r="T16" s="402"/>
      <c r="U16" s="8"/>
      <c r="V16" s="5"/>
    </row>
    <row r="17" spans="1:21" s="5" customFormat="1" ht="81" customHeight="1" outlineLevel="1" x14ac:dyDescent="0.25">
      <c r="A17" s="321">
        <v>8</v>
      </c>
      <c r="B17" s="322" t="s">
        <v>25</v>
      </c>
      <c r="C17" s="322" t="s">
        <v>53</v>
      </c>
      <c r="D17" s="324" t="s">
        <v>49</v>
      </c>
      <c r="E17" s="266" t="s">
        <v>51</v>
      </c>
      <c r="F17" s="34">
        <v>40000000</v>
      </c>
      <c r="G17" s="261">
        <v>100000</v>
      </c>
      <c r="H17" s="266" t="s">
        <v>430</v>
      </c>
      <c r="I17" s="261">
        <v>0</v>
      </c>
      <c r="J17" s="261">
        <f>G17-I17</f>
        <v>100000</v>
      </c>
      <c r="K17" s="323" t="s">
        <v>305</v>
      </c>
      <c r="L17" s="323" t="s">
        <v>54</v>
      </c>
      <c r="M17" s="260" t="s">
        <v>51</v>
      </c>
      <c r="N17" s="34">
        <f>40000000-2500000-1500000</f>
        <v>36000000</v>
      </c>
      <c r="O17" s="280">
        <v>25429698.080000002</v>
      </c>
      <c r="P17" s="279" t="s">
        <v>367</v>
      </c>
      <c r="Q17" s="280">
        <v>0</v>
      </c>
      <c r="R17" s="280">
        <f>4091306.45123489+373977422.6/403.57</f>
        <v>5017979.4512101114</v>
      </c>
      <c r="S17" s="280">
        <f t="shared" si="1"/>
        <v>25429698.080000002</v>
      </c>
      <c r="T17" s="401" t="s">
        <v>52</v>
      </c>
      <c r="U17" s="8"/>
    </row>
    <row r="18" spans="1:21" s="5" customFormat="1" ht="39.75" customHeight="1" outlineLevel="1" x14ac:dyDescent="0.25">
      <c r="A18" s="311"/>
      <c r="B18" s="314"/>
      <c r="C18" s="314"/>
      <c r="D18" s="315"/>
      <c r="E18" s="266"/>
      <c r="F18" s="34"/>
      <c r="G18" s="261"/>
      <c r="H18" s="266"/>
      <c r="I18" s="261"/>
      <c r="J18" s="261"/>
      <c r="K18" s="317"/>
      <c r="L18" s="317"/>
      <c r="M18" s="264" t="s">
        <v>2</v>
      </c>
      <c r="N18" s="34"/>
      <c r="O18" s="280">
        <v>1009149275.1</v>
      </c>
      <c r="P18" s="279"/>
      <c r="Q18" s="280">
        <v>563212.19999999995</v>
      </c>
      <c r="R18" s="280">
        <f>165583419.3+41681454.8</f>
        <v>207264874.10000002</v>
      </c>
      <c r="S18" s="280">
        <f t="shared" si="1"/>
        <v>1008586062.9</v>
      </c>
      <c r="T18" s="402"/>
      <c r="U18" s="8"/>
    </row>
    <row r="19" spans="1:21" s="5" customFormat="1" ht="70.5" customHeight="1" outlineLevel="1" x14ac:dyDescent="0.25">
      <c r="A19" s="321">
        <v>9</v>
      </c>
      <c r="B19" s="330" t="s">
        <v>25</v>
      </c>
      <c r="C19" s="322" t="s">
        <v>55</v>
      </c>
      <c r="D19" s="324" t="s">
        <v>49</v>
      </c>
      <c r="E19" s="328" t="s">
        <v>51</v>
      </c>
      <c r="F19" s="329">
        <v>52000000</v>
      </c>
      <c r="G19" s="327">
        <v>130000</v>
      </c>
      <c r="H19" s="328" t="s">
        <v>430</v>
      </c>
      <c r="I19" s="327"/>
      <c r="J19" s="327">
        <f>G19-I19</f>
        <v>130000</v>
      </c>
      <c r="K19" s="323" t="s">
        <v>306</v>
      </c>
      <c r="L19" s="323" t="s">
        <v>56</v>
      </c>
      <c r="M19" s="260" t="s">
        <v>51</v>
      </c>
      <c r="N19" s="34">
        <v>23194486</v>
      </c>
      <c r="O19" s="280">
        <v>14063736.780000001</v>
      </c>
      <c r="P19" s="325" t="s">
        <v>367</v>
      </c>
      <c r="Q19" s="280">
        <v>0</v>
      </c>
      <c r="R19" s="280">
        <f>1316813.632+122778919.2/386.33+153358408.7/402.99</f>
        <v>2015173.4321072174</v>
      </c>
      <c r="S19" s="280">
        <f t="shared" si="1"/>
        <v>14063736.780000001</v>
      </c>
      <c r="T19" s="401" t="s">
        <v>52</v>
      </c>
      <c r="U19" s="8"/>
    </row>
    <row r="20" spans="1:21" s="5" customFormat="1" ht="54.75" customHeight="1" outlineLevel="1" x14ac:dyDescent="0.25">
      <c r="A20" s="311"/>
      <c r="B20" s="331"/>
      <c r="C20" s="332"/>
      <c r="D20" s="333"/>
      <c r="E20" s="328"/>
      <c r="F20" s="329"/>
      <c r="G20" s="327"/>
      <c r="H20" s="328"/>
      <c r="I20" s="327"/>
      <c r="J20" s="327"/>
      <c r="K20" s="317"/>
      <c r="L20" s="317"/>
      <c r="M20" s="264" t="s">
        <v>2</v>
      </c>
      <c r="N20" s="34"/>
      <c r="O20" s="280">
        <v>1715005397.0999999</v>
      </c>
      <c r="P20" s="334"/>
      <c r="Q20" s="280">
        <v>91463799.799999997</v>
      </c>
      <c r="R20" s="280">
        <f>119885553.7+36155098.5+43333756.7</f>
        <v>199374408.89999998</v>
      </c>
      <c r="S20" s="280">
        <f t="shared" si="1"/>
        <v>1623541597.3</v>
      </c>
      <c r="T20" s="402"/>
      <c r="U20" s="8"/>
    </row>
    <row r="21" spans="1:21" s="5" customFormat="1" ht="60" customHeight="1" outlineLevel="1" x14ac:dyDescent="0.25">
      <c r="A21" s="321">
        <v>10</v>
      </c>
      <c r="B21" s="330" t="s">
        <v>57</v>
      </c>
      <c r="C21" s="332"/>
      <c r="D21" s="333"/>
      <c r="E21" s="328"/>
      <c r="F21" s="329"/>
      <c r="G21" s="327"/>
      <c r="H21" s="328"/>
      <c r="I21" s="327"/>
      <c r="J21" s="327"/>
      <c r="K21" s="323" t="s">
        <v>307</v>
      </c>
      <c r="L21" s="323" t="s">
        <v>56</v>
      </c>
      <c r="M21" s="260" t="s">
        <v>51</v>
      </c>
      <c r="N21" s="280">
        <v>16662617.070000002</v>
      </c>
      <c r="O21" s="280">
        <v>16662617.070000002</v>
      </c>
      <c r="P21" s="334"/>
      <c r="Q21" s="280"/>
      <c r="R21" s="280">
        <f>2194958+182027405/386.38+218562808/403.19</f>
        <v>3208151.702122347</v>
      </c>
      <c r="S21" s="280">
        <f t="shared" si="1"/>
        <v>16662617.070000002</v>
      </c>
      <c r="T21" s="401" t="s">
        <v>52</v>
      </c>
      <c r="U21" s="8"/>
    </row>
    <row r="22" spans="1:21" s="5" customFormat="1" ht="40.5" customHeight="1" outlineLevel="1" x14ac:dyDescent="0.25">
      <c r="A22" s="311"/>
      <c r="B22" s="331"/>
      <c r="C22" s="314"/>
      <c r="D22" s="315"/>
      <c r="E22" s="273"/>
      <c r="F22" s="276"/>
      <c r="G22" s="270"/>
      <c r="H22" s="273"/>
      <c r="I22" s="270"/>
      <c r="J22" s="270"/>
      <c r="K22" s="317"/>
      <c r="L22" s="317"/>
      <c r="M22" s="260" t="s">
        <v>2</v>
      </c>
      <c r="N22" s="9"/>
      <c r="O22" s="280">
        <v>2003005775.2</v>
      </c>
      <c r="P22" s="326"/>
      <c r="Q22" s="280"/>
      <c r="R22" s="280">
        <f>238604865.8+56631905+65163658.9</f>
        <v>360400429.69999999</v>
      </c>
      <c r="S22" s="280">
        <f t="shared" si="1"/>
        <v>2003005775.2</v>
      </c>
      <c r="T22" s="402"/>
      <c r="U22" s="8"/>
    </row>
    <row r="23" spans="1:21" s="5" customFormat="1" ht="57.75" customHeight="1" outlineLevel="1" x14ac:dyDescent="0.25">
      <c r="A23" s="321">
        <v>11</v>
      </c>
      <c r="B23" s="330" t="s">
        <v>25</v>
      </c>
      <c r="C23" s="322" t="s">
        <v>58</v>
      </c>
      <c r="D23" s="324" t="s">
        <v>59</v>
      </c>
      <c r="E23" s="338" t="s">
        <v>431</v>
      </c>
      <c r="F23" s="341">
        <v>24022000</v>
      </c>
      <c r="G23" s="335">
        <f>O23+O25</f>
        <v>18384172.012149811</v>
      </c>
      <c r="H23" s="338">
        <v>0.02</v>
      </c>
      <c r="I23" s="335">
        <v>0</v>
      </c>
      <c r="J23" s="335">
        <f>G23-I23</f>
        <v>18384172.012149811</v>
      </c>
      <c r="K23" s="323" t="s">
        <v>305</v>
      </c>
      <c r="L23" s="324" t="s">
        <v>60</v>
      </c>
      <c r="M23" s="260" t="s">
        <v>61</v>
      </c>
      <c r="N23" s="36">
        <v>13988153</v>
      </c>
      <c r="O23" s="280">
        <v>8262785.6411363389</v>
      </c>
      <c r="P23" s="325">
        <v>3.1399999999999997E-2</v>
      </c>
      <c r="Q23" s="280">
        <f>1430873.60020494+107795234.9/520.68+109739226/530.07</f>
        <v>1844929.200299131</v>
      </c>
      <c r="R23" s="280">
        <f>1219413.93+55848657.5/520.68+55104222/530.07</f>
        <v>1430631.4301233056</v>
      </c>
      <c r="S23" s="280">
        <f t="shared" si="1"/>
        <v>6417856.4408372082</v>
      </c>
      <c r="T23" s="401" t="s">
        <v>52</v>
      </c>
      <c r="U23" s="8"/>
    </row>
    <row r="24" spans="1:21" s="5" customFormat="1" ht="32.25" customHeight="1" outlineLevel="1" x14ac:dyDescent="0.25">
      <c r="A24" s="311"/>
      <c r="B24" s="331"/>
      <c r="C24" s="332"/>
      <c r="D24" s="333"/>
      <c r="E24" s="339"/>
      <c r="F24" s="342"/>
      <c r="G24" s="336"/>
      <c r="H24" s="339"/>
      <c r="I24" s="336"/>
      <c r="J24" s="336"/>
      <c r="K24" s="317"/>
      <c r="L24" s="315"/>
      <c r="M24" s="264" t="s">
        <v>2</v>
      </c>
      <c r="N24" s="37"/>
      <c r="O24" s="280">
        <v>1194787815</v>
      </c>
      <c r="P24" s="326"/>
      <c r="Q24" s="280">
        <f>209123295.3+29868621.8+29868621.8</f>
        <v>268860538.90000004</v>
      </c>
      <c r="R24" s="280">
        <f>177460224.6+15474933+14998180</f>
        <v>207933337.59999999</v>
      </c>
      <c r="S24" s="280">
        <f t="shared" si="1"/>
        <v>925927276.0999999</v>
      </c>
      <c r="T24" s="402"/>
      <c r="U24" s="8"/>
    </row>
    <row r="25" spans="1:21" s="5" customFormat="1" ht="51.75" customHeight="1" outlineLevel="1" x14ac:dyDescent="0.25">
      <c r="A25" s="321">
        <v>12</v>
      </c>
      <c r="B25" s="330" t="s">
        <v>62</v>
      </c>
      <c r="C25" s="332"/>
      <c r="D25" s="333"/>
      <c r="E25" s="339"/>
      <c r="F25" s="342"/>
      <c r="G25" s="336"/>
      <c r="H25" s="339"/>
      <c r="I25" s="336"/>
      <c r="J25" s="336"/>
      <c r="K25" s="323" t="s">
        <v>308</v>
      </c>
      <c r="L25" s="324" t="s">
        <v>60</v>
      </c>
      <c r="M25" s="260" t="s">
        <v>61</v>
      </c>
      <c r="N25" s="36">
        <v>10098535</v>
      </c>
      <c r="O25" s="280">
        <v>10121386.37101347</v>
      </c>
      <c r="P25" s="325">
        <v>3.1399999999999997E-2</v>
      </c>
      <c r="Q25" s="280">
        <f>1520990.1+136750579/520.29+138244588/530.59</f>
        <v>2044374.2018585065</v>
      </c>
      <c r="R25" s="280">
        <f>832426.027338+83294453/525+70252782/520.29+69454072/530.59</f>
        <v>1257008.0293966178</v>
      </c>
      <c r="S25" s="280">
        <f t="shared" si="1"/>
        <v>8077012.1691549635</v>
      </c>
      <c r="T25" s="401" t="s">
        <v>52</v>
      </c>
      <c r="U25" s="8"/>
    </row>
    <row r="26" spans="1:21" s="5" customFormat="1" ht="32.25" customHeight="1" outlineLevel="1" x14ac:dyDescent="0.25">
      <c r="A26" s="311"/>
      <c r="B26" s="331"/>
      <c r="C26" s="314"/>
      <c r="D26" s="315"/>
      <c r="E26" s="340"/>
      <c r="F26" s="343"/>
      <c r="G26" s="337"/>
      <c r="H26" s="340"/>
      <c r="I26" s="337"/>
      <c r="J26" s="337"/>
      <c r="K26" s="317"/>
      <c r="L26" s="315"/>
      <c r="M26" s="264" t="s">
        <v>2</v>
      </c>
      <c r="N26" s="37"/>
      <c r="O26" s="280">
        <v>794162455.89999998</v>
      </c>
      <c r="P26" s="326"/>
      <c r="Q26" s="280">
        <f>123592049.7+20623615+20310837</f>
        <v>164526501.69999999</v>
      </c>
      <c r="R26" s="280">
        <f>78534680.8+10527955+10204165</f>
        <v>99266800.799999997</v>
      </c>
      <c r="S26" s="280">
        <f t="shared" si="1"/>
        <v>629635954.20000005</v>
      </c>
      <c r="T26" s="402"/>
      <c r="U26" s="8"/>
    </row>
    <row r="27" spans="1:21" s="5" customFormat="1" ht="48" customHeight="1" outlineLevel="1" x14ac:dyDescent="0.25">
      <c r="A27" s="258">
        <v>13</v>
      </c>
      <c r="B27" s="265" t="s">
        <v>25</v>
      </c>
      <c r="C27" s="346" t="s">
        <v>63</v>
      </c>
      <c r="D27" s="316" t="s">
        <v>64</v>
      </c>
      <c r="E27" s="266" t="s">
        <v>432</v>
      </c>
      <c r="F27" s="327">
        <v>15000000</v>
      </c>
      <c r="G27" s="327">
        <v>15000000</v>
      </c>
      <c r="H27" s="347">
        <v>1.4500000000000001E-2</v>
      </c>
      <c r="I27" s="327">
        <v>2437500</v>
      </c>
      <c r="J27" s="327">
        <f>G27-I27</f>
        <v>12562500</v>
      </c>
      <c r="K27" s="263" t="s">
        <v>309</v>
      </c>
      <c r="L27" s="264" t="s">
        <v>65</v>
      </c>
      <c r="M27" s="260" t="s">
        <v>51</v>
      </c>
      <c r="N27" s="280">
        <v>19600000</v>
      </c>
      <c r="O27" s="280">
        <v>19419334.870000001</v>
      </c>
      <c r="P27" s="281">
        <v>5.0000000000000001E-3</v>
      </c>
      <c r="Q27" s="280">
        <f>9716960.66852489+189584407.5/488.5+172026989.7/443.26+153375144/395.2+150045288.9/386.62+156421689.8/403.05</f>
        <v>11657435.668648943</v>
      </c>
      <c r="R27" s="280">
        <f>1129921.93024286+16077756.3/488.5+14096288.6/443.26+12233850.7/395.2+11546870.2/386.62+11574265.9/403.05</f>
        <v>1284174.8301751786</v>
      </c>
      <c r="S27" s="280">
        <f t="shared" si="1"/>
        <v>7761899.2013510577</v>
      </c>
      <c r="T27" s="204" t="s">
        <v>52</v>
      </c>
      <c r="U27" s="8"/>
    </row>
    <row r="28" spans="1:21" s="5" customFormat="1" ht="60" customHeight="1" outlineLevel="1" x14ac:dyDescent="0.25">
      <c r="A28" s="258">
        <v>14</v>
      </c>
      <c r="B28" s="265" t="s">
        <v>62</v>
      </c>
      <c r="C28" s="346"/>
      <c r="D28" s="316"/>
      <c r="E28" s="266" t="s">
        <v>432</v>
      </c>
      <c r="F28" s="327"/>
      <c r="G28" s="327"/>
      <c r="H28" s="347"/>
      <c r="I28" s="327"/>
      <c r="J28" s="327"/>
      <c r="K28" s="263" t="s">
        <v>310</v>
      </c>
      <c r="L28" s="264" t="s">
        <v>66</v>
      </c>
      <c r="M28" s="260" t="s">
        <v>51</v>
      </c>
      <c r="N28" s="280">
        <v>297276.53999999998</v>
      </c>
      <c r="O28" s="280">
        <v>297276.53999999998</v>
      </c>
      <c r="P28" s="279" t="s">
        <v>67</v>
      </c>
      <c r="Q28" s="280">
        <f>257638.543537781+4361667/440.15+3916234/395.2+3837157/387.22+3994520/403.1</f>
        <v>297276.54625526333</v>
      </c>
      <c r="R28" s="280">
        <f>229541.53251276+1912186/489.99+1556591/440.15+1259898/395.2+1094284/387.22+991707/403.1</f>
        <v>245454.73643449965</v>
      </c>
      <c r="S28" s="280">
        <f t="shared" si="1"/>
        <v>-6.255263346247375E-3</v>
      </c>
      <c r="T28" s="204" t="s">
        <v>52</v>
      </c>
      <c r="U28" s="8"/>
    </row>
    <row r="29" spans="1:21" s="5" customFormat="1" ht="51" customHeight="1" outlineLevel="1" x14ac:dyDescent="0.25">
      <c r="A29" s="258">
        <v>15</v>
      </c>
      <c r="B29" s="265" t="s">
        <v>62</v>
      </c>
      <c r="C29" s="344" t="s">
        <v>68</v>
      </c>
      <c r="D29" s="316" t="s">
        <v>69</v>
      </c>
      <c r="E29" s="328" t="s">
        <v>71</v>
      </c>
      <c r="F29" s="329">
        <f>5075000000+324000000</f>
        <v>5399000000</v>
      </c>
      <c r="G29" s="327">
        <f>5062807492+305504477</f>
        <v>5368311969</v>
      </c>
      <c r="H29" s="345" t="s">
        <v>433</v>
      </c>
      <c r="I29" s="327">
        <f>1729684492+71162477</f>
        <v>1800846969</v>
      </c>
      <c r="J29" s="327">
        <f>G29-I29</f>
        <v>3567465000</v>
      </c>
      <c r="K29" s="263" t="s">
        <v>311</v>
      </c>
      <c r="L29" s="264" t="s">
        <v>70</v>
      </c>
      <c r="M29" s="264" t="s">
        <v>71</v>
      </c>
      <c r="N29" s="280">
        <v>1571940173.3299999</v>
      </c>
      <c r="O29" s="280">
        <v>1598519063</v>
      </c>
      <c r="P29" s="281">
        <v>1.7999999999999999E-2</v>
      </c>
      <c r="Q29" s="280">
        <f>1030178646.5+123394332/3.026+109815247/2.693+110426917/2.708</f>
        <v>1152512749.7454691</v>
      </c>
      <c r="R29" s="280">
        <f>226837831.925937+13873556/3.026+11211247/2.693+10505503/2.708</f>
        <v>239465155.16541752</v>
      </c>
      <c r="S29" s="280">
        <f t="shared" si="1"/>
        <v>446006313.25453091</v>
      </c>
      <c r="T29" s="204" t="s">
        <v>52</v>
      </c>
      <c r="U29" s="8"/>
    </row>
    <row r="30" spans="1:21" s="5" customFormat="1" ht="41.25" customHeight="1" outlineLevel="1" x14ac:dyDescent="0.25">
      <c r="A30" s="258">
        <v>16</v>
      </c>
      <c r="B30" s="259" t="s">
        <v>72</v>
      </c>
      <c r="C30" s="344"/>
      <c r="D30" s="316"/>
      <c r="E30" s="328"/>
      <c r="F30" s="329"/>
      <c r="G30" s="327"/>
      <c r="H30" s="345"/>
      <c r="I30" s="327"/>
      <c r="J30" s="327"/>
      <c r="K30" s="263" t="s">
        <v>312</v>
      </c>
      <c r="L30" s="264" t="s">
        <v>70</v>
      </c>
      <c r="M30" s="264" t="s">
        <v>71</v>
      </c>
      <c r="N30" s="280">
        <v>3796371795.6700001</v>
      </c>
      <c r="O30" s="280">
        <v>3861444249</v>
      </c>
      <c r="P30" s="281">
        <v>1.7999999999999999E-2</v>
      </c>
      <c r="Q30" s="280">
        <f>2513837447.56+291897058.6/3.026+259774877.3/2.693+261800600/2.714</f>
        <v>2803226467.7953391</v>
      </c>
      <c r="R30" s="280">
        <f>553224853.256799+32762341/3.026+26475306.9/2.693+24863667/2.714</f>
        <v>583044220.17120647</v>
      </c>
      <c r="S30" s="280">
        <f t="shared" si="1"/>
        <v>1058217781.2046609</v>
      </c>
      <c r="T30" s="204" t="s">
        <v>52</v>
      </c>
      <c r="U30" s="8"/>
    </row>
    <row r="31" spans="1:21" s="5" customFormat="1" ht="33.75" customHeight="1" outlineLevel="1" x14ac:dyDescent="0.25">
      <c r="A31" s="312">
        <v>17</v>
      </c>
      <c r="B31" s="344" t="s">
        <v>73</v>
      </c>
      <c r="C31" s="346" t="s">
        <v>74</v>
      </c>
      <c r="D31" s="316" t="s">
        <v>64</v>
      </c>
      <c r="E31" s="328" t="s">
        <v>432</v>
      </c>
      <c r="F31" s="327">
        <v>10000000</v>
      </c>
      <c r="G31" s="327">
        <v>9972457.2400000002</v>
      </c>
      <c r="H31" s="347">
        <v>1.4500000000000001E-2</v>
      </c>
      <c r="I31" s="327">
        <v>0</v>
      </c>
      <c r="J31" s="327">
        <f>G31-I31</f>
        <v>9972457.2400000002</v>
      </c>
      <c r="K31" s="318" t="s">
        <v>313</v>
      </c>
      <c r="L31" s="316" t="s">
        <v>75</v>
      </c>
      <c r="M31" s="260" t="s">
        <v>51</v>
      </c>
      <c r="N31" s="280">
        <v>4846628.13</v>
      </c>
      <c r="O31" s="280">
        <v>4737831.22</v>
      </c>
      <c r="P31" s="279">
        <v>7.4999999999999997E-3</v>
      </c>
      <c r="Q31" s="280">
        <f>616176.07+18729201/386.44+19508050/402.51</f>
        <v>713108.07074119058</v>
      </c>
      <c r="R31" s="280">
        <f>353441.51+5923430/386.44+6198654/402.51</f>
        <v>384169.71101438778</v>
      </c>
      <c r="S31" s="280">
        <f t="shared" si="1"/>
        <v>4024723.1492588092</v>
      </c>
      <c r="T31" s="204" t="s">
        <v>76</v>
      </c>
      <c r="U31" s="8"/>
    </row>
    <row r="32" spans="1:21" s="5" customFormat="1" ht="41.25" customHeight="1" outlineLevel="1" x14ac:dyDescent="0.25">
      <c r="A32" s="312"/>
      <c r="B32" s="344"/>
      <c r="C32" s="346"/>
      <c r="D32" s="316"/>
      <c r="E32" s="328"/>
      <c r="F32" s="327"/>
      <c r="G32" s="327"/>
      <c r="H32" s="347"/>
      <c r="I32" s="327"/>
      <c r="J32" s="327"/>
      <c r="K32" s="318"/>
      <c r="L32" s="316"/>
      <c r="M32" s="264" t="s">
        <v>2</v>
      </c>
      <c r="N32" s="280">
        <v>1740568345.9000001</v>
      </c>
      <c r="O32" s="280">
        <v>1740568345.9000001</v>
      </c>
      <c r="P32" s="279">
        <v>7.4999999999999997E-3</v>
      </c>
      <c r="Q32" s="280">
        <f>247100359+17402579+17402579</f>
        <v>281905517</v>
      </c>
      <c r="R32" s="280">
        <f>128165336.87+5554115.8+5580740.4</f>
        <v>139300193.06999999</v>
      </c>
      <c r="S32" s="280">
        <f t="shared" si="1"/>
        <v>1458662828.9000001</v>
      </c>
      <c r="T32" s="204" t="s">
        <v>76</v>
      </c>
      <c r="U32" s="8"/>
    </row>
    <row r="33" spans="1:22" ht="87" customHeight="1" outlineLevel="1" x14ac:dyDescent="0.25">
      <c r="A33" s="258">
        <v>18</v>
      </c>
      <c r="B33" s="265" t="s">
        <v>77</v>
      </c>
      <c r="C33" s="259" t="s">
        <v>78</v>
      </c>
      <c r="D33" s="264" t="s">
        <v>27</v>
      </c>
      <c r="E33" s="266" t="s">
        <v>434</v>
      </c>
      <c r="F33" s="261">
        <f>12782297+5112919</f>
        <v>17895216</v>
      </c>
      <c r="G33" s="261">
        <f>12782297+5112919</f>
        <v>17895216</v>
      </c>
      <c r="H33" s="266"/>
      <c r="I33" s="34">
        <f>2687350+357904</f>
        <v>3045254</v>
      </c>
      <c r="J33" s="261">
        <f>G33-I33</f>
        <v>14849962</v>
      </c>
      <c r="K33" s="263" t="s">
        <v>314</v>
      </c>
      <c r="L33" s="263" t="s">
        <v>79</v>
      </c>
      <c r="M33" s="260" t="s">
        <v>29</v>
      </c>
      <c r="N33" s="39">
        <v>17895215.550000001</v>
      </c>
      <c r="O33" s="280">
        <v>17895215.550000001</v>
      </c>
      <c r="P33" s="279">
        <v>7.4999999999999997E-3</v>
      </c>
      <c r="Q33" s="280">
        <f>7748628.1+130294835.3/415.04+137735052.2/438.74</f>
        <v>8376494.5000054715</v>
      </c>
      <c r="R33" s="280">
        <f>2568161.28+12471869/415.04+3320320/414.34+16171473.8/438.74</f>
        <v>2643083.495521571</v>
      </c>
      <c r="S33" s="280">
        <f t="shared" si="1"/>
        <v>9518721.0499945283</v>
      </c>
      <c r="T33" s="204" t="s">
        <v>52</v>
      </c>
      <c r="U33" s="8"/>
      <c r="V33" s="5"/>
    </row>
    <row r="34" spans="1:22" ht="40.5" customHeight="1" outlineLevel="1" x14ac:dyDescent="0.25">
      <c r="A34" s="312">
        <v>19</v>
      </c>
      <c r="B34" s="330" t="s">
        <v>80</v>
      </c>
      <c r="C34" s="346" t="s">
        <v>81</v>
      </c>
      <c r="D34" s="346" t="s">
        <v>277</v>
      </c>
      <c r="E34" s="353" t="s">
        <v>29</v>
      </c>
      <c r="F34" s="40">
        <v>14500000</v>
      </c>
      <c r="G34" s="40"/>
      <c r="H34" s="259"/>
      <c r="I34" s="41"/>
      <c r="J34" s="40">
        <f>G34-I34</f>
        <v>0</v>
      </c>
      <c r="K34" s="346" t="s">
        <v>315</v>
      </c>
      <c r="L34" s="259" t="s">
        <v>82</v>
      </c>
      <c r="M34" s="260" t="s">
        <v>29</v>
      </c>
      <c r="N34" s="42">
        <v>22000000</v>
      </c>
      <c r="O34" s="280">
        <v>21247150.510000002</v>
      </c>
      <c r="P34" s="262" t="s">
        <v>83</v>
      </c>
      <c r="Q34" s="280">
        <f>1047000+1047000+1047000+1047000+1047000+1047000+1047000</f>
        <v>7329000</v>
      </c>
      <c r="R34" s="280">
        <v>2375876.2999999998</v>
      </c>
      <c r="S34" s="280">
        <f>N34-Q34</f>
        <v>14671000</v>
      </c>
      <c r="T34" s="401" t="s">
        <v>439</v>
      </c>
      <c r="U34" s="8"/>
      <c r="V34" s="5"/>
    </row>
    <row r="35" spans="1:22" ht="31.5" customHeight="1" outlineLevel="1" x14ac:dyDescent="0.25">
      <c r="A35" s="312"/>
      <c r="B35" s="352"/>
      <c r="C35" s="346"/>
      <c r="D35" s="346"/>
      <c r="E35" s="353"/>
      <c r="F35" s="40">
        <v>14500000</v>
      </c>
      <c r="G35" s="40">
        <v>697853.84</v>
      </c>
      <c r="H35" s="259"/>
      <c r="I35" s="41"/>
      <c r="J35" s="40">
        <f>G35-I35</f>
        <v>697853.84</v>
      </c>
      <c r="K35" s="346"/>
      <c r="L35" s="259" t="s">
        <v>85</v>
      </c>
      <c r="M35" s="260" t="s">
        <v>29</v>
      </c>
      <c r="N35" s="42">
        <v>14500000</v>
      </c>
      <c r="O35" s="280">
        <v>14491281.059999999</v>
      </c>
      <c r="P35" s="262" t="s">
        <v>30</v>
      </c>
      <c r="Q35" s="280">
        <f>241000+241000+241000+241000+241000+241000+241000</f>
        <v>1687000</v>
      </c>
      <c r="R35" s="280">
        <v>628643.69999999995</v>
      </c>
      <c r="S35" s="280">
        <f>N35-Q35</f>
        <v>12813000</v>
      </c>
      <c r="T35" s="404"/>
      <c r="U35" s="8"/>
      <c r="V35" s="5"/>
    </row>
    <row r="36" spans="1:22" ht="42.75" customHeight="1" outlineLevel="1" x14ac:dyDescent="0.25">
      <c r="A36" s="312"/>
      <c r="B36" s="331"/>
      <c r="C36" s="346"/>
      <c r="D36" s="346"/>
      <c r="E36" s="353"/>
      <c r="F36" s="40">
        <v>22000000</v>
      </c>
      <c r="G36" s="40"/>
      <c r="H36" s="259"/>
      <c r="I36" s="41"/>
      <c r="J36" s="40">
        <f>G36-I36</f>
        <v>0</v>
      </c>
      <c r="K36" s="346"/>
      <c r="L36" s="259" t="s">
        <v>86</v>
      </c>
      <c r="M36" s="260" t="s">
        <v>29</v>
      </c>
      <c r="N36" s="42">
        <v>14500000</v>
      </c>
      <c r="O36" s="280">
        <v>14500000.000000002</v>
      </c>
      <c r="P36" s="262" t="s">
        <v>87</v>
      </c>
      <c r="Q36" s="280">
        <f>2519999.6+630000+630000+630000</f>
        <v>4409999.5999999996</v>
      </c>
      <c r="R36" s="280">
        <v>2336020</v>
      </c>
      <c r="S36" s="280">
        <f>N36-Q36</f>
        <v>10090000.4</v>
      </c>
      <c r="T36" s="402"/>
      <c r="U36" s="8"/>
      <c r="V36" s="5"/>
    </row>
    <row r="37" spans="1:22" ht="94.5" customHeight="1" outlineLevel="1" x14ac:dyDescent="0.25">
      <c r="A37" s="258">
        <v>20</v>
      </c>
      <c r="B37" s="259" t="s">
        <v>88</v>
      </c>
      <c r="C37" s="265" t="s">
        <v>89</v>
      </c>
      <c r="D37" s="264" t="s">
        <v>69</v>
      </c>
      <c r="E37" s="266" t="s">
        <v>71</v>
      </c>
      <c r="F37" s="267">
        <v>26409000000</v>
      </c>
      <c r="G37" s="261">
        <v>26399286331</v>
      </c>
      <c r="H37" s="262">
        <v>7.4999999999999997E-3</v>
      </c>
      <c r="I37" s="261">
        <v>432846331</v>
      </c>
      <c r="J37" s="40">
        <f>G37-I37</f>
        <v>25966440000</v>
      </c>
      <c r="K37" s="263" t="s">
        <v>316</v>
      </c>
      <c r="L37" s="264" t="s">
        <v>90</v>
      </c>
      <c r="M37" s="264" t="s">
        <v>71</v>
      </c>
      <c r="N37" s="267">
        <v>26409000000</v>
      </c>
      <c r="O37" s="280">
        <v>26399286331</v>
      </c>
      <c r="P37" s="279">
        <v>7.4999999999999997E-3</v>
      </c>
      <c r="Q37" s="280">
        <f>7357230331.16835+1131704010/2.615+1153775484/2.666</f>
        <v>8222778331.1683502</v>
      </c>
      <c r="R37" s="280">
        <f>2607354309.06995+188428717.2/2.615+185536580.8/2.666</f>
        <v>2749004796.0961809</v>
      </c>
      <c r="S37" s="261">
        <f t="shared" ref="S37:S45" si="2">O37-Q37</f>
        <v>18176507999.83165</v>
      </c>
      <c r="T37" s="204" t="s">
        <v>91</v>
      </c>
      <c r="U37" s="8"/>
      <c r="V37" s="5"/>
    </row>
    <row r="38" spans="1:22" ht="51.75" customHeight="1" outlineLevel="1" x14ac:dyDescent="0.25">
      <c r="A38" s="258">
        <v>21</v>
      </c>
      <c r="B38" s="265" t="s">
        <v>25</v>
      </c>
      <c r="C38" s="259" t="s">
        <v>92</v>
      </c>
      <c r="D38" s="259" t="s">
        <v>93</v>
      </c>
      <c r="E38" s="266"/>
      <c r="F38" s="266"/>
      <c r="G38" s="266"/>
      <c r="H38" s="266"/>
      <c r="I38" s="266"/>
      <c r="J38" s="266"/>
      <c r="K38" s="263" t="s">
        <v>317</v>
      </c>
      <c r="L38" s="264" t="s">
        <v>94</v>
      </c>
      <c r="M38" s="260" t="s">
        <v>51</v>
      </c>
      <c r="N38" s="280">
        <v>8988290</v>
      </c>
      <c r="O38" s="280">
        <v>8988290</v>
      </c>
      <c r="P38" s="281">
        <v>5.0000000000000001E-3</v>
      </c>
      <c r="Q38" s="280">
        <f>4199999.97+600000+600000+289644000/482.74+290820000/484.7+286458000/477.43+600000+600000+231939215.4/394.26</f>
        <v>8988289.9699999988</v>
      </c>
      <c r="R38" s="280">
        <f>838542.942447016+522591.6/394.26</f>
        <v>839868.44237092405</v>
      </c>
      <c r="S38" s="261">
        <f t="shared" si="2"/>
        <v>3.0000001192092896E-2</v>
      </c>
      <c r="T38" s="204" t="s">
        <v>76</v>
      </c>
      <c r="U38" s="8"/>
      <c r="V38" s="5"/>
    </row>
    <row r="39" spans="1:22" ht="63.75" customHeight="1" outlineLevel="1" x14ac:dyDescent="0.25">
      <c r="A39" s="258">
        <v>22</v>
      </c>
      <c r="B39" s="265" t="s">
        <v>95</v>
      </c>
      <c r="C39" s="259" t="s">
        <v>92</v>
      </c>
      <c r="D39" s="259" t="s">
        <v>96</v>
      </c>
      <c r="E39" s="266"/>
      <c r="F39" s="266"/>
      <c r="G39" s="266"/>
      <c r="H39" s="266"/>
      <c r="I39" s="266"/>
      <c r="J39" s="266"/>
      <c r="K39" s="43" t="s">
        <v>318</v>
      </c>
      <c r="L39" s="280" t="s">
        <v>97</v>
      </c>
      <c r="M39" s="40" t="s">
        <v>2</v>
      </c>
      <c r="N39" s="280">
        <v>1757100000</v>
      </c>
      <c r="O39" s="280">
        <v>1757100000</v>
      </c>
      <c r="P39" s="279">
        <v>7.4999999999999997E-3</v>
      </c>
      <c r="Q39" s="280">
        <f>439275000+62753571.5+62753571.5+62753571.3+62753571.4+62753571.4+62753571.4+62753571.5+62753571.5+62753571.5</f>
        <v>1004057142.9999999</v>
      </c>
      <c r="R39" s="280">
        <f>303383430.5+3313904.4+3032802.7</f>
        <v>309730137.59999996</v>
      </c>
      <c r="S39" s="261">
        <f t="shared" si="2"/>
        <v>753042857.00000012</v>
      </c>
      <c r="T39" s="204" t="s">
        <v>76</v>
      </c>
      <c r="U39" s="8"/>
      <c r="V39" s="5"/>
    </row>
    <row r="40" spans="1:22" ht="63.75" customHeight="1" outlineLevel="1" x14ac:dyDescent="0.25">
      <c r="A40" s="249">
        <v>23</v>
      </c>
      <c r="B40" s="265" t="s">
        <v>95</v>
      </c>
      <c r="C40" s="240" t="s">
        <v>98</v>
      </c>
      <c r="D40" s="259" t="s">
        <v>463</v>
      </c>
      <c r="E40" s="266"/>
      <c r="F40" s="266"/>
      <c r="G40" s="266"/>
      <c r="H40" s="266"/>
      <c r="I40" s="266"/>
      <c r="J40" s="266"/>
      <c r="K40" s="43" t="s">
        <v>319</v>
      </c>
      <c r="L40" s="280" t="s">
        <v>99</v>
      </c>
      <c r="M40" s="40" t="s">
        <v>2</v>
      </c>
      <c r="N40" s="280">
        <v>18700000000</v>
      </c>
      <c r="O40" s="280">
        <v>18700000000</v>
      </c>
      <c r="P40" s="252">
        <v>7.4999999999999997E-2</v>
      </c>
      <c r="Q40" s="280">
        <f>890476190.5+890476190.5+890476190.5+890476190.5</f>
        <v>3561904762</v>
      </c>
      <c r="R40" s="280">
        <f>1333335616.4+703171232.9+699328767.1+670052837.5+632909002+602718199.6</f>
        <v>4641515655.5</v>
      </c>
      <c r="S40" s="261">
        <f t="shared" si="2"/>
        <v>15138095238</v>
      </c>
      <c r="T40" s="204" t="s">
        <v>76</v>
      </c>
      <c r="U40" s="8"/>
      <c r="V40" s="5"/>
    </row>
    <row r="41" spans="1:22" ht="63.75" customHeight="1" outlineLevel="1" x14ac:dyDescent="0.25">
      <c r="A41" s="249">
        <v>24</v>
      </c>
      <c r="B41" s="265" t="s">
        <v>95</v>
      </c>
      <c r="C41" s="240" t="s">
        <v>278</v>
      </c>
      <c r="D41" s="259" t="s">
        <v>463</v>
      </c>
      <c r="E41" s="266"/>
      <c r="F41" s="266"/>
      <c r="G41" s="266"/>
      <c r="H41" s="266"/>
      <c r="I41" s="266"/>
      <c r="J41" s="266"/>
      <c r="K41" s="44"/>
      <c r="L41" s="280" t="s">
        <v>265</v>
      </c>
      <c r="M41" s="40" t="s">
        <v>2</v>
      </c>
      <c r="N41" s="280">
        <v>25000000000</v>
      </c>
      <c r="O41" s="280">
        <v>25000000000</v>
      </c>
      <c r="P41" s="252">
        <v>0.09</v>
      </c>
      <c r="Q41" s="280">
        <f>1190476190.4+1190476190.5</f>
        <v>2380952380.9000001</v>
      </c>
      <c r="R41" s="280">
        <f>1171232876.7+1121917808.3+1128082191.8+1121917808.2+1074363992.2</f>
        <v>5617514677.1999998</v>
      </c>
      <c r="S41" s="261">
        <f t="shared" si="2"/>
        <v>22619047619.099998</v>
      </c>
      <c r="T41" s="204" t="s">
        <v>76</v>
      </c>
      <c r="U41" s="8"/>
      <c r="V41" s="5"/>
    </row>
    <row r="42" spans="1:22" ht="57.75" customHeight="1" outlineLevel="1" x14ac:dyDescent="0.25">
      <c r="A42" s="321">
        <v>25</v>
      </c>
      <c r="B42" s="330" t="s">
        <v>95</v>
      </c>
      <c r="C42" s="322" t="s">
        <v>100</v>
      </c>
      <c r="D42" s="264" t="s">
        <v>472</v>
      </c>
      <c r="E42" s="260" t="s">
        <v>51</v>
      </c>
      <c r="F42" s="261">
        <v>270000000</v>
      </c>
      <c r="G42" s="46">
        <v>7766059.0499999998</v>
      </c>
      <c r="H42" s="266"/>
      <c r="I42" s="266"/>
      <c r="J42" s="266"/>
      <c r="K42" s="323" t="s">
        <v>321</v>
      </c>
      <c r="L42" s="348" t="s">
        <v>102</v>
      </c>
      <c r="M42" s="260" t="s">
        <v>51</v>
      </c>
      <c r="N42" s="36">
        <v>270000000</v>
      </c>
      <c r="O42" s="280">
        <v>173574580.28</v>
      </c>
      <c r="P42" s="350">
        <v>0.03</v>
      </c>
      <c r="Q42" s="280">
        <f>51199088.7002228+3370009369.8/394.93+3295429324.9/386.19+3461143748.2/405.61</f>
        <v>76798633.100286514</v>
      </c>
      <c r="R42" s="280">
        <f>20309911.275649+723428666.7/394.93+646453366.1/386.19+636850451.3/405.61</f>
        <v>25385731.975636914</v>
      </c>
      <c r="S42" s="261">
        <f t="shared" si="2"/>
        <v>96775947.179713488</v>
      </c>
      <c r="T42" s="401" t="s">
        <v>84</v>
      </c>
      <c r="U42" s="8"/>
      <c r="V42" s="5"/>
    </row>
    <row r="43" spans="1:22" ht="57.75" customHeight="1" outlineLevel="1" x14ac:dyDescent="0.25">
      <c r="A43" s="311"/>
      <c r="B43" s="331"/>
      <c r="C43" s="314"/>
      <c r="D43" s="259" t="s">
        <v>463</v>
      </c>
      <c r="E43" s="47"/>
      <c r="F43" s="270"/>
      <c r="G43" s="48"/>
      <c r="H43" s="273"/>
      <c r="I43" s="273"/>
      <c r="J43" s="273"/>
      <c r="K43" s="317"/>
      <c r="L43" s="349"/>
      <c r="M43" s="40" t="s">
        <v>2</v>
      </c>
      <c r="N43" s="37">
        <v>1265847400</v>
      </c>
      <c r="O43" s="280">
        <f>9509488626+108542329</f>
        <v>9618030955</v>
      </c>
      <c r="P43" s="351"/>
      <c r="Q43" s="280">
        <f>2858334735.47632+482835444.3+482835444.2+482835444.3</f>
        <v>4306841068.2763195</v>
      </c>
      <c r="R43" s="280">
        <f>1045375895.11175+103648675.3+94716219.7+88841721.7</f>
        <v>1332582511.8117502</v>
      </c>
      <c r="S43" s="261">
        <f t="shared" si="2"/>
        <v>5311189886.7236805</v>
      </c>
      <c r="T43" s="402"/>
      <c r="U43" s="8"/>
      <c r="V43" s="5"/>
    </row>
    <row r="44" spans="1:22" ht="57.75" customHeight="1" outlineLevel="1" x14ac:dyDescent="0.25">
      <c r="A44" s="258">
        <v>26</v>
      </c>
      <c r="B44" s="265" t="s">
        <v>95</v>
      </c>
      <c r="C44" s="259" t="s">
        <v>103</v>
      </c>
      <c r="D44" s="316" t="s">
        <v>49</v>
      </c>
      <c r="E44" s="260"/>
      <c r="F44" s="261"/>
      <c r="G44" s="46"/>
      <c r="H44" s="266"/>
      <c r="I44" s="266"/>
      <c r="J44" s="266"/>
      <c r="K44" s="254" t="s">
        <v>322</v>
      </c>
      <c r="L44" s="256" t="s">
        <v>104</v>
      </c>
      <c r="M44" s="31" t="s">
        <v>51</v>
      </c>
      <c r="N44" s="36">
        <v>8907500</v>
      </c>
      <c r="O44" s="280">
        <v>8907384.7100000009</v>
      </c>
      <c r="P44" s="325" t="s">
        <v>368</v>
      </c>
      <c r="Q44" s="280"/>
      <c r="R44" s="280">
        <f>1241236.45+96159781.6/386.38+118034920.8/403.19</f>
        <v>1782862.6500977012</v>
      </c>
      <c r="S44" s="271">
        <f t="shared" si="2"/>
        <v>8907384.7100000009</v>
      </c>
      <c r="T44" s="277" t="s">
        <v>105</v>
      </c>
      <c r="U44" s="8"/>
      <c r="V44" s="5"/>
    </row>
    <row r="45" spans="1:22" ht="78.75" customHeight="1" outlineLevel="1" thickBot="1" x14ac:dyDescent="0.3">
      <c r="A45" s="258">
        <v>27</v>
      </c>
      <c r="B45" s="245" t="s">
        <v>88</v>
      </c>
      <c r="C45" s="241" t="s">
        <v>103</v>
      </c>
      <c r="D45" s="316"/>
      <c r="E45" s="49"/>
      <c r="F45" s="271"/>
      <c r="G45" s="50"/>
      <c r="H45" s="274"/>
      <c r="I45" s="274"/>
      <c r="J45" s="274"/>
      <c r="K45" s="254" t="s">
        <v>323</v>
      </c>
      <c r="L45" s="51" t="s">
        <v>104</v>
      </c>
      <c r="M45" s="49" t="s">
        <v>51</v>
      </c>
      <c r="N45" s="52">
        <v>21092500</v>
      </c>
      <c r="O45" s="280">
        <v>21092210.790000003</v>
      </c>
      <c r="P45" s="358"/>
      <c r="Q45" s="280"/>
      <c r="R45" s="280">
        <f>3081286.01+227668040/386.38+279535083/403.19</f>
        <v>4363828.0823399555</v>
      </c>
      <c r="S45" s="270">
        <f t="shared" si="2"/>
        <v>21092210.790000003</v>
      </c>
      <c r="T45" s="277" t="s">
        <v>106</v>
      </c>
      <c r="U45" s="8"/>
      <c r="V45" s="5"/>
    </row>
    <row r="46" spans="1:22" s="9" customFormat="1" ht="15" customHeight="1" x14ac:dyDescent="0.25">
      <c r="A46" s="359" t="s">
        <v>115</v>
      </c>
      <c r="B46" s="360"/>
      <c r="C46" s="360"/>
      <c r="D46" s="363" t="s">
        <v>29</v>
      </c>
      <c r="E46" s="363"/>
      <c r="F46" s="363"/>
      <c r="G46" s="363"/>
      <c r="H46" s="363"/>
      <c r="I46" s="363"/>
      <c r="J46" s="363"/>
      <c r="K46" s="363"/>
      <c r="L46" s="363"/>
      <c r="M46" s="53"/>
      <c r="N46" s="10">
        <f>SUMIF($M$5:$M$45,D46,$N$5:$N$45)</f>
        <v>275755742.28000003</v>
      </c>
      <c r="O46" s="10">
        <f>SUMIF($M$5:$M$45,D46,$O$5:$O$45)</f>
        <v>97929055.540000007</v>
      </c>
      <c r="P46" s="10"/>
      <c r="Q46" s="10">
        <f>SUMIF($M$5:$M$45,D46,$Q$5:$Q$45)</f>
        <v>37018590.7398488</v>
      </c>
      <c r="R46" s="10">
        <f>SUMIF($M$5:$M$45,D46,$R$5:$R$45)</f>
        <v>16520985.737643212</v>
      </c>
      <c r="S46" s="10">
        <f>SUMIF($M$5:$M$45,D46,$S$5:$S$45)</f>
        <v>61672033.230151191</v>
      </c>
      <c r="T46" s="285"/>
      <c r="U46" s="8"/>
      <c r="V46" s="5"/>
    </row>
    <row r="47" spans="1:22" s="9" customFormat="1" ht="15" customHeight="1" x14ac:dyDescent="0.25">
      <c r="A47" s="361"/>
      <c r="B47" s="362"/>
      <c r="C47" s="362"/>
      <c r="D47" s="364" t="s">
        <v>2</v>
      </c>
      <c r="E47" s="364"/>
      <c r="F47" s="364"/>
      <c r="G47" s="364"/>
      <c r="H47" s="364"/>
      <c r="I47" s="364"/>
      <c r="J47" s="364"/>
      <c r="K47" s="364"/>
      <c r="L47" s="364"/>
      <c r="M47" s="54"/>
      <c r="N47" s="11">
        <f>SUMIF($M$5:$M$45,D47,$N$5:$N$45)</f>
        <v>48463515745.900002</v>
      </c>
      <c r="O47" s="11">
        <f>SUMIF($M$5:$M$45,D47,$O$5:$O$45)</f>
        <v>67456027580</v>
      </c>
      <c r="P47" s="11"/>
      <c r="Q47" s="11">
        <f>SUMIF($M$5:$M$45,D47,$Q$5:$Q$45)</f>
        <v>12692014082.47632</v>
      </c>
      <c r="R47" s="11">
        <f>SUMIF($M$5:$M$45,D47,$R$5:$R$45)</f>
        <v>14090249426.22175</v>
      </c>
      <c r="S47" s="11">
        <f>SUMIF($M$5:$M$45,D47,$S$5:$S$45)</f>
        <v>54764013497.523682</v>
      </c>
      <c r="T47" s="286"/>
      <c r="U47" s="8"/>
      <c r="V47" s="5"/>
    </row>
    <row r="48" spans="1:22" s="9" customFormat="1" ht="15" customHeight="1" x14ac:dyDescent="0.25">
      <c r="A48" s="361"/>
      <c r="B48" s="362"/>
      <c r="C48" s="362"/>
      <c r="D48" s="364" t="s">
        <v>51</v>
      </c>
      <c r="E48" s="364"/>
      <c r="F48" s="364"/>
      <c r="G48" s="364"/>
      <c r="H48" s="364"/>
      <c r="I48" s="364"/>
      <c r="J48" s="364"/>
      <c r="K48" s="364"/>
      <c r="L48" s="364"/>
      <c r="M48" s="54"/>
      <c r="N48" s="11">
        <f>SUMIF($M$5:$M$45,D48,$N$5:$N$45)</f>
        <v>443654882.94000006</v>
      </c>
      <c r="O48" s="11">
        <f>SUMIF($M$5:$M$45,D48,$O$5:$O$45)</f>
        <v>327238545.54000002</v>
      </c>
      <c r="P48" s="11"/>
      <c r="Q48" s="11">
        <f>SUMIF($M$5:$M$45,D48,$Q$5:$Q$45)</f>
        <v>104132340.85582891</v>
      </c>
      <c r="R48" s="11">
        <f>SUMIF($M$5:$M$45,D48,$R$5:$R$45)</f>
        <v>53494961.563411839</v>
      </c>
      <c r="S48" s="11">
        <f>SUMIF($M$5:$M$45,D48,$S$5:$S$45)</f>
        <v>223106204.68417111</v>
      </c>
      <c r="T48" s="286"/>
      <c r="U48" s="8"/>
      <c r="V48" s="5"/>
    </row>
    <row r="49" spans="1:22" s="9" customFormat="1" ht="15" customHeight="1" x14ac:dyDescent="0.25">
      <c r="A49" s="361"/>
      <c r="B49" s="362"/>
      <c r="C49" s="362"/>
      <c r="D49" s="365" t="s">
        <v>71</v>
      </c>
      <c r="E49" s="365"/>
      <c r="F49" s="365"/>
      <c r="G49" s="365"/>
      <c r="H49" s="365"/>
      <c r="I49" s="365"/>
      <c r="J49" s="365"/>
      <c r="K49" s="365"/>
      <c r="L49" s="365"/>
      <c r="M49" s="55"/>
      <c r="N49" s="56">
        <f>SUMIF($M$5:$M$45,D49,$N$5:$N$45)</f>
        <v>31777311969</v>
      </c>
      <c r="O49" s="56">
        <f>SUMIF($M$5:$M$45,D49,$O$5:$O$45)</f>
        <v>31859249643</v>
      </c>
      <c r="P49" s="56"/>
      <c r="Q49" s="56">
        <f>SUMIF($M$5:$M$45,D49,$Q$5:$Q$45)</f>
        <v>12178517548.709158</v>
      </c>
      <c r="R49" s="56">
        <f>SUMIF($M$5:$M$45,D49,$R$5:$R$45)</f>
        <v>3571514171.4328051</v>
      </c>
      <c r="S49" s="56">
        <f>SUMIF($M$5:$M$45,D49,$S$5:$S$45)</f>
        <v>19680732094.29084</v>
      </c>
      <c r="T49" s="287"/>
      <c r="U49" s="8"/>
      <c r="V49" s="5"/>
    </row>
    <row r="50" spans="1:22" s="9" customFormat="1" ht="15" customHeight="1" thickBot="1" x14ac:dyDescent="0.3">
      <c r="A50" s="361"/>
      <c r="B50" s="362"/>
      <c r="C50" s="362"/>
      <c r="D50" s="366" t="s">
        <v>61</v>
      </c>
      <c r="E50" s="367"/>
      <c r="F50" s="367"/>
      <c r="G50" s="367"/>
      <c r="H50" s="367"/>
      <c r="I50" s="367"/>
      <c r="J50" s="367"/>
      <c r="K50" s="367"/>
      <c r="L50" s="368"/>
      <c r="M50" s="57"/>
      <c r="N50" s="12">
        <f>SUMIF($M$5:$M$45,D50,$N$5:$N$45)</f>
        <v>24086688</v>
      </c>
      <c r="O50" s="12">
        <f>SUMIF($M$5:$M$45,D50,$O$5:$O$45)</f>
        <v>18384172.012149811</v>
      </c>
      <c r="P50" s="12"/>
      <c r="Q50" s="12">
        <f>SUMIF($M$5:$M$45,D50,$Q$5:$Q$45)</f>
        <v>3889303.4021576373</v>
      </c>
      <c r="R50" s="12">
        <f>SUMIF($M$5:$M$45,D50,$R$5:$R$45)</f>
        <v>2687639.4595199237</v>
      </c>
      <c r="S50" s="12">
        <f>SUMIF($M$5:$M$45,D50,$S$5:$S$45)</f>
        <v>14494868.609992173</v>
      </c>
      <c r="T50" s="288"/>
      <c r="U50" s="8"/>
      <c r="V50" s="5"/>
    </row>
    <row r="51" spans="1:22" ht="78" customHeight="1" outlineLevel="1" x14ac:dyDescent="0.25">
      <c r="A51" s="250">
        <v>28</v>
      </c>
      <c r="B51" s="244" t="s">
        <v>116</v>
      </c>
      <c r="C51" s="245" t="s">
        <v>117</v>
      </c>
      <c r="D51" s="247" t="s">
        <v>118</v>
      </c>
      <c r="E51" s="31" t="s">
        <v>29</v>
      </c>
      <c r="F51" s="272">
        <v>5000000</v>
      </c>
      <c r="G51" s="272">
        <v>5000000</v>
      </c>
      <c r="H51" s="269" t="s">
        <v>120</v>
      </c>
      <c r="I51" s="29">
        <v>1041667</v>
      </c>
      <c r="J51" s="272">
        <f>G51-I51</f>
        <v>3958333</v>
      </c>
      <c r="K51" s="254" t="s">
        <v>324</v>
      </c>
      <c r="L51" s="254" t="s">
        <v>119</v>
      </c>
      <c r="M51" s="31" t="s">
        <v>29</v>
      </c>
      <c r="N51" s="256">
        <v>5000000</v>
      </c>
      <c r="O51" s="256">
        <v>5000000</v>
      </c>
      <c r="P51" s="269" t="s">
        <v>120</v>
      </c>
      <c r="Q51" s="256">
        <f>4166666.69+208333.33+88124985.9/423</f>
        <v>4583333.3199999994</v>
      </c>
      <c r="R51" s="256">
        <f>553011.29+6019459.2/423</f>
        <v>567241.69000000006</v>
      </c>
      <c r="S51" s="256">
        <f t="shared" ref="S51:S56" si="3">O51-Q51</f>
        <v>416666.68000000063</v>
      </c>
      <c r="T51" s="278" t="s">
        <v>76</v>
      </c>
      <c r="V51" s="5"/>
    </row>
    <row r="52" spans="1:22" ht="71.25" customHeight="1" outlineLevel="1" x14ac:dyDescent="0.25">
      <c r="A52" s="249">
        <v>29</v>
      </c>
      <c r="B52" s="330" t="s">
        <v>121</v>
      </c>
      <c r="C52" s="240" t="s">
        <v>122</v>
      </c>
      <c r="D52" s="248" t="s">
        <v>118</v>
      </c>
      <c r="E52" s="260" t="s">
        <v>29</v>
      </c>
      <c r="F52" s="261">
        <v>5000000</v>
      </c>
      <c r="G52" s="261">
        <f>3302053.81+58000+43500</f>
        <v>3403553.81</v>
      </c>
      <c r="H52" s="279" t="s">
        <v>120</v>
      </c>
      <c r="I52" s="261">
        <v>0</v>
      </c>
      <c r="J52" s="261">
        <f>G52-I52</f>
        <v>3403553.81</v>
      </c>
      <c r="K52" s="253" t="s">
        <v>325</v>
      </c>
      <c r="L52" s="253" t="s">
        <v>123</v>
      </c>
      <c r="M52" s="260" t="s">
        <v>29</v>
      </c>
      <c r="N52" s="280">
        <v>5000000</v>
      </c>
      <c r="O52" s="280">
        <v>5000000</v>
      </c>
      <c r="P52" s="252" t="s">
        <v>120</v>
      </c>
      <c r="Q52" s="280">
        <f>3125000+208333.33+88124985.9/423</f>
        <v>3541666.63</v>
      </c>
      <c r="R52" s="280">
        <f>320254.8+16091046.9/423</f>
        <v>358295.1</v>
      </c>
      <c r="S52" s="280">
        <f t="shared" si="3"/>
        <v>1458333.37</v>
      </c>
      <c r="T52" s="401" t="s">
        <v>76</v>
      </c>
      <c r="V52" s="5"/>
    </row>
    <row r="53" spans="1:22" ht="71.25" customHeight="1" outlineLevel="1" x14ac:dyDescent="0.25">
      <c r="A53" s="249">
        <v>30</v>
      </c>
      <c r="B53" s="331"/>
      <c r="C53" s="240"/>
      <c r="D53" s="248" t="s">
        <v>463</v>
      </c>
      <c r="E53" s="260"/>
      <c r="F53" s="261"/>
      <c r="G53" s="261"/>
      <c r="H53" s="279"/>
      <c r="I53" s="261"/>
      <c r="J53" s="261"/>
      <c r="K53" s="253"/>
      <c r="L53" s="253"/>
      <c r="M53" s="47" t="s">
        <v>2</v>
      </c>
      <c r="N53" s="280"/>
      <c r="O53" s="280">
        <v>66094595</v>
      </c>
      <c r="P53" s="252"/>
      <c r="Q53" s="280">
        <f>6609471.44+6609433.4+6609473.7</f>
        <v>19828378.539999999</v>
      </c>
      <c r="R53" s="280">
        <f>1088882.59773529+1190830.4</f>
        <v>2279712.9977352899</v>
      </c>
      <c r="S53" s="280">
        <f t="shared" si="3"/>
        <v>46266216.460000001</v>
      </c>
      <c r="T53" s="402"/>
      <c r="V53" s="5"/>
    </row>
    <row r="54" spans="1:22" ht="55.5" customHeight="1" outlineLevel="1" x14ac:dyDescent="0.25">
      <c r="A54" s="258">
        <v>31</v>
      </c>
      <c r="B54" s="265" t="s">
        <v>124</v>
      </c>
      <c r="C54" s="259" t="s">
        <v>125</v>
      </c>
      <c r="D54" s="264" t="s">
        <v>126</v>
      </c>
      <c r="E54" s="260" t="s">
        <v>29</v>
      </c>
      <c r="F54" s="261">
        <v>5000000</v>
      </c>
      <c r="G54" s="261">
        <v>5000000</v>
      </c>
      <c r="H54" s="279" t="s">
        <v>435</v>
      </c>
      <c r="I54" s="34"/>
      <c r="J54" s="261">
        <f>G54-I54</f>
        <v>5000000</v>
      </c>
      <c r="K54" s="263" t="s">
        <v>326</v>
      </c>
      <c r="L54" s="263" t="s">
        <v>127</v>
      </c>
      <c r="M54" s="260" t="s">
        <v>29</v>
      </c>
      <c r="N54" s="280">
        <v>5000000</v>
      </c>
      <c r="O54" s="280">
        <v>5000000</v>
      </c>
      <c r="P54" s="279" t="s">
        <v>120</v>
      </c>
      <c r="Q54" s="280">
        <f>3227272.74+97124988.4/427.35+96136352.1/423</f>
        <v>3681818.1401287005</v>
      </c>
      <c r="R54" s="280">
        <v>475298.33641151118</v>
      </c>
      <c r="S54" s="280">
        <f t="shared" si="3"/>
        <v>1318181.8598712995</v>
      </c>
      <c r="T54" s="204" t="s">
        <v>76</v>
      </c>
      <c r="V54" s="5"/>
    </row>
    <row r="55" spans="1:22" ht="57" customHeight="1" outlineLevel="1" x14ac:dyDescent="0.25">
      <c r="A55" s="321">
        <v>32</v>
      </c>
      <c r="B55" s="330" t="s">
        <v>128</v>
      </c>
      <c r="C55" s="322" t="s">
        <v>129</v>
      </c>
      <c r="D55" s="248" t="s">
        <v>126</v>
      </c>
      <c r="E55" s="47" t="s">
        <v>29</v>
      </c>
      <c r="F55" s="270">
        <v>5000000</v>
      </c>
      <c r="G55" s="270">
        <v>2000000</v>
      </c>
      <c r="H55" s="252" t="s">
        <v>436</v>
      </c>
      <c r="I55" s="270">
        <v>0</v>
      </c>
      <c r="J55" s="270">
        <f>G55-I55</f>
        <v>2000000</v>
      </c>
      <c r="K55" s="253" t="s">
        <v>327</v>
      </c>
      <c r="L55" s="253" t="s">
        <v>130</v>
      </c>
      <c r="M55" s="47" t="s">
        <v>29</v>
      </c>
      <c r="N55" s="255">
        <v>5000000</v>
      </c>
      <c r="O55" s="280">
        <v>3000000</v>
      </c>
      <c r="P55" s="45" t="s">
        <v>279</v>
      </c>
      <c r="Q55" s="280">
        <f>676724.137931034+46797420.6/423</f>
        <v>787356.33793103392</v>
      </c>
      <c r="R55" s="280">
        <f>222742.9+6254858.7/423</f>
        <v>237529.8</v>
      </c>
      <c r="S55" s="255">
        <f t="shared" si="3"/>
        <v>2212643.6620689658</v>
      </c>
      <c r="T55" s="401" t="s">
        <v>76</v>
      </c>
      <c r="V55" s="5"/>
    </row>
    <row r="56" spans="1:22" ht="57" customHeight="1" outlineLevel="1" thickBot="1" x14ac:dyDescent="0.3">
      <c r="A56" s="354"/>
      <c r="B56" s="355"/>
      <c r="C56" s="356"/>
      <c r="D56" s="248" t="s">
        <v>463</v>
      </c>
      <c r="E56" s="47"/>
      <c r="F56" s="270">
        <v>5000000</v>
      </c>
      <c r="G56" s="270">
        <v>2000000</v>
      </c>
      <c r="H56" s="252" t="s">
        <v>436</v>
      </c>
      <c r="I56" s="270">
        <v>0</v>
      </c>
      <c r="J56" s="270">
        <f>G56-I56</f>
        <v>2000000</v>
      </c>
      <c r="K56" s="253" t="s">
        <v>327</v>
      </c>
      <c r="L56" s="253" t="s">
        <v>266</v>
      </c>
      <c r="M56" s="47" t="s">
        <v>2</v>
      </c>
      <c r="N56" s="255"/>
      <c r="O56" s="280">
        <v>94369557.609999999</v>
      </c>
      <c r="P56" s="45">
        <v>1.404E-2</v>
      </c>
      <c r="Q56" s="280">
        <f>9751561.92837819+3148517</f>
        <v>12900078.928378191</v>
      </c>
      <c r="R56" s="280">
        <f>1328413.8+491137.6</f>
        <v>1819551.4</v>
      </c>
      <c r="S56" s="255">
        <f t="shared" si="3"/>
        <v>81469478.681621805</v>
      </c>
      <c r="T56" s="405"/>
      <c r="V56" s="5"/>
    </row>
    <row r="57" spans="1:22" s="9" customFormat="1" ht="15" customHeight="1" x14ac:dyDescent="0.25">
      <c r="A57" s="359" t="s">
        <v>131</v>
      </c>
      <c r="B57" s="360"/>
      <c r="C57" s="360"/>
      <c r="D57" s="363" t="s">
        <v>29</v>
      </c>
      <c r="E57" s="363"/>
      <c r="F57" s="363"/>
      <c r="G57" s="363"/>
      <c r="H57" s="363"/>
      <c r="I57" s="363"/>
      <c r="J57" s="363"/>
      <c r="K57" s="363"/>
      <c r="L57" s="363"/>
      <c r="M57" s="53"/>
      <c r="N57" s="10">
        <f>SUMIF($M$51:$M$56,D57,$N$51:$N$56)</f>
        <v>20000000</v>
      </c>
      <c r="O57" s="10">
        <f>SUMIF($M$51:$M$56,D57,$O$51:$O$56)</f>
        <v>18000000</v>
      </c>
      <c r="P57" s="13"/>
      <c r="Q57" s="10">
        <f>SUMIF($M$51:$M$56,D57,$Q$51:$Q$56)</f>
        <v>12594174.428059733</v>
      </c>
      <c r="R57" s="10">
        <f>SUMIF($M$51:$M$56,D57,$R$51:$R$56)</f>
        <v>1638364.9264115111</v>
      </c>
      <c r="S57" s="10">
        <f>SUMIF($M$51:$M$56,D57,$S$51:$S$56)</f>
        <v>5405825.5719402656</v>
      </c>
      <c r="T57" s="285"/>
      <c r="U57" s="8"/>
      <c r="V57" s="5"/>
    </row>
    <row r="58" spans="1:22" s="9" customFormat="1" ht="15" customHeight="1" x14ac:dyDescent="0.25">
      <c r="A58" s="361"/>
      <c r="B58" s="362"/>
      <c r="C58" s="362"/>
      <c r="D58" s="364" t="s">
        <v>2</v>
      </c>
      <c r="E58" s="364"/>
      <c r="F58" s="364"/>
      <c r="G58" s="364"/>
      <c r="H58" s="364"/>
      <c r="I58" s="364"/>
      <c r="J58" s="364"/>
      <c r="K58" s="364"/>
      <c r="L58" s="364"/>
      <c r="M58" s="54"/>
      <c r="N58" s="11">
        <f>SUMIF($M$51:$M$56,D58,$N$51:$N$56)</f>
        <v>0</v>
      </c>
      <c r="O58" s="11">
        <f>SUMIF($M$51:$M$56,D58,$O$51:$O$56)</f>
        <v>160464152.61000001</v>
      </c>
      <c r="P58" s="11"/>
      <c r="Q58" s="11">
        <f>SUMIF($M$51:$M$56,D58,$Q$51:$Q$56)</f>
        <v>32728457.46837819</v>
      </c>
      <c r="R58" s="11">
        <f>SUMIF($M$51:$M$56,D58,$R$51:$R$56)</f>
        <v>4099264.3977352898</v>
      </c>
      <c r="S58" s="11">
        <f>SUMIF($M$51:$M$56,D58,$S$51:$S$56)</f>
        <v>127735695.1416218</v>
      </c>
      <c r="T58" s="286"/>
      <c r="U58" s="8"/>
      <c r="V58" s="5"/>
    </row>
    <row r="59" spans="1:22" s="9" customFormat="1" ht="15" customHeight="1" x14ac:dyDescent="0.25">
      <c r="A59" s="361"/>
      <c r="B59" s="362"/>
      <c r="C59" s="362"/>
      <c r="D59" s="364" t="s">
        <v>51</v>
      </c>
      <c r="E59" s="364"/>
      <c r="F59" s="364"/>
      <c r="G59" s="364"/>
      <c r="H59" s="364"/>
      <c r="I59" s="364"/>
      <c r="J59" s="364"/>
      <c r="K59" s="364"/>
      <c r="L59" s="364"/>
      <c r="M59" s="54"/>
      <c r="N59" s="11">
        <f>SUMIF($M$51:$M$56,D59,$N$51:$N$56)</f>
        <v>0</v>
      </c>
      <c r="O59" s="11">
        <f>SUMIF($M$51:$M$56,D59,$O$51:$O$56)</f>
        <v>0</v>
      </c>
      <c r="P59" s="11"/>
      <c r="Q59" s="11">
        <f>SUMIF($M$51:$M$56,D59,$Q$51:$Q$56)</f>
        <v>0</v>
      </c>
      <c r="R59" s="11">
        <f>SUMIF($M$51:$M$56,D59,$R$51:$R$56)</f>
        <v>0</v>
      </c>
      <c r="S59" s="11">
        <f>SUMIF($M$51:$M$56,D59,$S$51:$S$56)</f>
        <v>0</v>
      </c>
      <c r="T59" s="286"/>
      <c r="U59" s="8"/>
      <c r="V59" s="5"/>
    </row>
    <row r="60" spans="1:22" s="9" customFormat="1" ht="15" customHeight="1" thickBot="1" x14ac:dyDescent="0.3">
      <c r="A60" s="369"/>
      <c r="B60" s="370"/>
      <c r="C60" s="370"/>
      <c r="D60" s="371" t="s">
        <v>71</v>
      </c>
      <c r="E60" s="371"/>
      <c r="F60" s="371"/>
      <c r="G60" s="371"/>
      <c r="H60" s="371"/>
      <c r="I60" s="371"/>
      <c r="J60" s="371"/>
      <c r="K60" s="371"/>
      <c r="L60" s="371"/>
      <c r="M60" s="57"/>
      <c r="N60" s="12">
        <f>SUMIF($M$51:$M$56,D60,$N$51:$N$56)</f>
        <v>0</v>
      </c>
      <c r="O60" s="12">
        <f>SUMIF($M$51:$M$56,D60,$O$51:$O$56)</f>
        <v>0</v>
      </c>
      <c r="P60" s="12"/>
      <c r="Q60" s="12">
        <f>SUMIF($M$51:$M$56,D60,$Q$51:$Q$56)</f>
        <v>0</v>
      </c>
      <c r="R60" s="12">
        <f>SUMIF($M$51:$M$56,D60,$R$51:$R$56)</f>
        <v>0</v>
      </c>
      <c r="S60" s="12">
        <f>SUMIF($M$51:$M$56,D60,$S$51:$S$56)</f>
        <v>0</v>
      </c>
      <c r="T60" s="288"/>
      <c r="U60" s="8"/>
      <c r="V60" s="5"/>
    </row>
    <row r="61" spans="1:22" s="2" customFormat="1" ht="91.5" customHeight="1" outlineLevel="1" x14ac:dyDescent="0.25">
      <c r="A61" s="258">
        <v>33</v>
      </c>
      <c r="B61" s="259" t="s">
        <v>132</v>
      </c>
      <c r="C61" s="259" t="s">
        <v>133</v>
      </c>
      <c r="D61" s="259" t="s">
        <v>473</v>
      </c>
      <c r="E61" s="259"/>
      <c r="F61" s="259"/>
      <c r="G61" s="259"/>
      <c r="H61" s="259"/>
      <c r="I61" s="259"/>
      <c r="J61" s="259"/>
      <c r="K61" s="58" t="s">
        <v>328</v>
      </c>
      <c r="L61" s="259" t="s">
        <v>134</v>
      </c>
      <c r="M61" s="259" t="s">
        <v>2</v>
      </c>
      <c r="N61" s="280">
        <v>74000000000</v>
      </c>
      <c r="O61" s="280">
        <v>74000000000</v>
      </c>
      <c r="P61" s="279" t="s">
        <v>135</v>
      </c>
      <c r="Q61" s="280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R61" s="280">
        <f>27971909177.5+338144.2+498915.4+526901.3</f>
        <v>27973273138.400002</v>
      </c>
      <c r="S61" s="261">
        <f>O61-Q61</f>
        <v>8809523809.2999802</v>
      </c>
      <c r="T61" s="204" t="s">
        <v>76</v>
      </c>
      <c r="U61" s="1"/>
      <c r="V61" s="5"/>
    </row>
    <row r="62" spans="1:22" s="2" customFormat="1" ht="91.5" customHeight="1" outlineLevel="1" x14ac:dyDescent="0.25">
      <c r="A62" s="258">
        <v>34</v>
      </c>
      <c r="B62" s="259" t="s">
        <v>132</v>
      </c>
      <c r="C62" s="259" t="s">
        <v>136</v>
      </c>
      <c r="D62" s="259" t="s">
        <v>27</v>
      </c>
      <c r="E62" s="259"/>
      <c r="F62" s="259"/>
      <c r="G62" s="259"/>
      <c r="H62" s="259"/>
      <c r="I62" s="259"/>
      <c r="J62" s="259"/>
      <c r="K62" s="58" t="s">
        <v>329</v>
      </c>
      <c r="L62" s="259" t="s">
        <v>137</v>
      </c>
      <c r="M62" s="259" t="s">
        <v>2</v>
      </c>
      <c r="N62" s="280">
        <v>2035890300</v>
      </c>
      <c r="O62" s="280">
        <v>2035890300</v>
      </c>
      <c r="P62" s="279" t="s">
        <v>44</v>
      </c>
      <c r="Q62" s="280">
        <v>0</v>
      </c>
      <c r="R62" s="280">
        <v>0</v>
      </c>
      <c r="S62" s="261">
        <f t="shared" ref="S62:S67" si="4">O62-Q62</f>
        <v>2035890300</v>
      </c>
      <c r="T62" s="204" t="s">
        <v>76</v>
      </c>
      <c r="U62" s="1"/>
      <c r="V62" s="5"/>
    </row>
    <row r="63" spans="1:22" ht="94.5" outlineLevel="1" x14ac:dyDescent="0.25">
      <c r="A63" s="250">
        <v>35</v>
      </c>
      <c r="B63" s="265" t="s">
        <v>138</v>
      </c>
      <c r="C63" s="259" t="s">
        <v>139</v>
      </c>
      <c r="D63" s="264" t="s">
        <v>27</v>
      </c>
      <c r="E63" s="260" t="s">
        <v>29</v>
      </c>
      <c r="F63" s="261">
        <v>3500000</v>
      </c>
      <c r="G63" s="261">
        <v>3500000</v>
      </c>
      <c r="H63" s="279">
        <v>7.4999999999999997E-3</v>
      </c>
      <c r="I63" s="34">
        <v>0</v>
      </c>
      <c r="J63" s="261">
        <f>G63-I63</f>
        <v>3500000</v>
      </c>
      <c r="K63" s="263" t="s">
        <v>330</v>
      </c>
      <c r="L63" s="264" t="s">
        <v>140</v>
      </c>
      <c r="M63" s="260" t="s">
        <v>29</v>
      </c>
      <c r="N63" s="280">
        <v>3500000</v>
      </c>
      <c r="O63" s="280">
        <v>3500000</v>
      </c>
      <c r="P63" s="279">
        <v>7.4999999999999997E-3</v>
      </c>
      <c r="Q63" s="280">
        <f>696000+31440060/542.07+58000+24255020/418.19+24400600/420.7+25920780/446.91</f>
        <v>986000</v>
      </c>
      <c r="R63" s="280">
        <f>399592.922231146+10515+10297.5+4215355.2/418.19+4149153.8/420.7+4310447/446.91</f>
        <v>449992.92246187496</v>
      </c>
      <c r="S63" s="261">
        <f t="shared" si="4"/>
        <v>2514000</v>
      </c>
      <c r="T63" s="204" t="s">
        <v>76</v>
      </c>
      <c r="V63" s="5"/>
    </row>
    <row r="64" spans="1:22" ht="69" customHeight="1" outlineLevel="1" x14ac:dyDescent="0.25">
      <c r="A64" s="258">
        <v>36</v>
      </c>
      <c r="B64" s="265" t="s">
        <v>141</v>
      </c>
      <c r="C64" s="259" t="s">
        <v>142</v>
      </c>
      <c r="D64" s="259" t="s">
        <v>143</v>
      </c>
      <c r="E64" s="266" t="s">
        <v>431</v>
      </c>
      <c r="F64" s="46">
        <v>1173750</v>
      </c>
      <c r="G64" s="46">
        <v>1109413</v>
      </c>
      <c r="H64" s="262"/>
      <c r="I64" s="46"/>
      <c r="J64" s="46"/>
      <c r="K64" s="266" t="s">
        <v>331</v>
      </c>
      <c r="L64" s="264" t="s">
        <v>144</v>
      </c>
      <c r="M64" s="260" t="s">
        <v>51</v>
      </c>
      <c r="N64" s="261">
        <v>1689937.9</v>
      </c>
      <c r="O64" s="280">
        <v>1689937.9</v>
      </c>
      <c r="P64" s="262">
        <v>5.9900000000000002E-2</v>
      </c>
      <c r="Q64" s="280">
        <f>872805.23+28165+28165</f>
        <v>929135.23</v>
      </c>
      <c r="R64" s="280">
        <f>1964862.47+25588.58+24871.58</f>
        <v>2015322.6300000001</v>
      </c>
      <c r="S64" s="261">
        <f t="shared" si="4"/>
        <v>760802.66999999993</v>
      </c>
      <c r="T64" s="289" t="s">
        <v>76</v>
      </c>
      <c r="V64" s="5"/>
    </row>
    <row r="65" spans="1:22" ht="69.75" customHeight="1" outlineLevel="1" x14ac:dyDescent="0.25">
      <c r="A65" s="250">
        <v>37</v>
      </c>
      <c r="B65" s="265" t="s">
        <v>145</v>
      </c>
      <c r="C65" s="259" t="s">
        <v>146</v>
      </c>
      <c r="D65" s="259" t="s">
        <v>143</v>
      </c>
      <c r="E65" s="260" t="s">
        <v>51</v>
      </c>
      <c r="F65" s="46">
        <v>2828000</v>
      </c>
      <c r="G65" s="46">
        <v>2828000</v>
      </c>
      <c r="H65" s="262"/>
      <c r="I65" s="46"/>
      <c r="J65" s="46"/>
      <c r="K65" s="266" t="s">
        <v>332</v>
      </c>
      <c r="L65" s="264" t="s">
        <v>147</v>
      </c>
      <c r="M65" s="260" t="s">
        <v>51</v>
      </c>
      <c r="N65" s="261">
        <v>2828000</v>
      </c>
      <c r="O65" s="280">
        <v>2828000</v>
      </c>
      <c r="P65" s="262">
        <v>5.9900000000000002E-2</v>
      </c>
      <c r="Q65" s="261">
        <f>1128831.5+47000</f>
        <v>1175831.5</v>
      </c>
      <c r="R65" s="280">
        <f>1731608.85+50775.51</f>
        <v>1782384.36</v>
      </c>
      <c r="S65" s="261">
        <f t="shared" si="4"/>
        <v>1652168.5</v>
      </c>
      <c r="T65" s="289" t="s">
        <v>76</v>
      </c>
      <c r="V65" s="5"/>
    </row>
    <row r="66" spans="1:22" s="4" customFormat="1" ht="177" customHeight="1" outlineLevel="1" x14ac:dyDescent="0.25">
      <c r="A66" s="258">
        <v>38</v>
      </c>
      <c r="B66" s="265" t="s">
        <v>148</v>
      </c>
      <c r="C66" s="259" t="s">
        <v>149</v>
      </c>
      <c r="D66" s="259" t="s">
        <v>143</v>
      </c>
      <c r="E66" s="266" t="s">
        <v>431</v>
      </c>
      <c r="F66" s="46">
        <v>7900000</v>
      </c>
      <c r="G66" s="59"/>
      <c r="H66" s="59"/>
      <c r="I66" s="59"/>
      <c r="J66" s="59"/>
      <c r="K66" s="264" t="s">
        <v>333</v>
      </c>
      <c r="L66" s="264" t="s">
        <v>150</v>
      </c>
      <c r="M66" s="259" t="s">
        <v>2</v>
      </c>
      <c r="N66" s="60">
        <v>2092000000</v>
      </c>
      <c r="O66" s="280">
        <v>2092000000</v>
      </c>
      <c r="P66" s="61">
        <v>0.02</v>
      </c>
      <c r="Q66" s="280">
        <f>354576270+35457627.1+35457627+35457627</f>
        <v>460949151.10000002</v>
      </c>
      <c r="R66" s="280">
        <f>426427783.87+17517039.3+16879773.4+16802058.1</f>
        <v>477626654.67000002</v>
      </c>
      <c r="S66" s="261">
        <f t="shared" si="4"/>
        <v>1631050848.9000001</v>
      </c>
      <c r="T66" s="289" t="s">
        <v>76</v>
      </c>
      <c r="U66" s="3"/>
      <c r="V66" s="5"/>
    </row>
    <row r="67" spans="1:22" s="4" customFormat="1" ht="169.5" customHeight="1" outlineLevel="1" thickBot="1" x14ac:dyDescent="0.3">
      <c r="A67" s="250">
        <v>39</v>
      </c>
      <c r="B67" s="265" t="s">
        <v>148</v>
      </c>
      <c r="C67" s="259" t="s">
        <v>151</v>
      </c>
      <c r="D67" s="259" t="s">
        <v>143</v>
      </c>
      <c r="E67" s="266"/>
      <c r="F67" s="46"/>
      <c r="G67" s="59"/>
      <c r="H67" s="59"/>
      <c r="I67" s="59"/>
      <c r="J67" s="59"/>
      <c r="K67" s="264" t="s">
        <v>334</v>
      </c>
      <c r="L67" s="264" t="s">
        <v>152</v>
      </c>
      <c r="M67" s="264" t="s">
        <v>2</v>
      </c>
      <c r="N67" s="60">
        <v>2187306400</v>
      </c>
      <c r="O67" s="60">
        <v>2187306400</v>
      </c>
      <c r="P67" s="61">
        <v>0.03</v>
      </c>
      <c r="Q67" s="280">
        <v>0</v>
      </c>
      <c r="R67" s="280">
        <f>224789707.9+33079263.9+32539928.1+33079263.9</f>
        <v>323488163.80000001</v>
      </c>
      <c r="S67" s="261">
        <f t="shared" si="4"/>
        <v>2187306400</v>
      </c>
      <c r="T67" s="289" t="s">
        <v>76</v>
      </c>
      <c r="U67" s="3"/>
      <c r="V67" s="5"/>
    </row>
    <row r="68" spans="1:22" s="9" customFormat="1" ht="15" customHeight="1" x14ac:dyDescent="0.25">
      <c r="A68" s="359" t="s">
        <v>153</v>
      </c>
      <c r="B68" s="360"/>
      <c r="C68" s="360"/>
      <c r="D68" s="363" t="s">
        <v>29</v>
      </c>
      <c r="E68" s="363"/>
      <c r="F68" s="363"/>
      <c r="G68" s="363"/>
      <c r="H68" s="363"/>
      <c r="I68" s="363"/>
      <c r="J68" s="363"/>
      <c r="K68" s="363"/>
      <c r="L68" s="363"/>
      <c r="M68" s="53"/>
      <c r="N68" s="13">
        <f>SUMIF($M$61:$M$67,D68,$N$61:$N$67)</f>
        <v>3500000</v>
      </c>
      <c r="O68" s="13">
        <f>SUMIF($M$61:$M$67,D68,$O$61:$O$67)</f>
        <v>3500000</v>
      </c>
      <c r="P68" s="13"/>
      <c r="Q68" s="13">
        <f>SUMIF($M$61:$M$67,D68,$Q$61:$Q$67)</f>
        <v>986000</v>
      </c>
      <c r="R68" s="13">
        <f>SUMIF($M$61:$M$67,D68,$R$61:$R$67)</f>
        <v>449992.92246187496</v>
      </c>
      <c r="S68" s="13">
        <f>SUMIF($M$61:$M$67,D68,$S$61:$S$67)</f>
        <v>2514000</v>
      </c>
      <c r="T68" s="285"/>
      <c r="U68" s="8"/>
      <c r="V68" s="5"/>
    </row>
    <row r="69" spans="1:22" s="9" customFormat="1" ht="15" customHeight="1" x14ac:dyDescent="0.25">
      <c r="A69" s="361"/>
      <c r="B69" s="362"/>
      <c r="C69" s="362"/>
      <c r="D69" s="364" t="s">
        <v>2</v>
      </c>
      <c r="E69" s="364"/>
      <c r="F69" s="364"/>
      <c r="G69" s="364"/>
      <c r="H69" s="364"/>
      <c r="I69" s="364"/>
      <c r="J69" s="364"/>
      <c r="K69" s="364"/>
      <c r="L69" s="364"/>
      <c r="M69" s="54"/>
      <c r="N69" s="11">
        <f>SUMIF($M$61:$M$67,D69,$N$61:$N$67)</f>
        <v>80315196700</v>
      </c>
      <c r="O69" s="11">
        <f>SUMIF($M$61:$M$67,D69,$O$61:$O$67)</f>
        <v>80315196700</v>
      </c>
      <c r="P69" s="11"/>
      <c r="Q69" s="11">
        <f>SUMIF($M$61:$M$67,D69,$Q$61:$Q$67)</f>
        <v>65651425341.800018</v>
      </c>
      <c r="R69" s="11">
        <f>SUMIF($M$61:$M$67,D69,$R$61:$R$67)</f>
        <v>28774387956.869999</v>
      </c>
      <c r="S69" s="11">
        <f>SUMIF($M$61:$M$67,D69,$S$61:$S$67)</f>
        <v>14663771358.19998</v>
      </c>
      <c r="T69" s="286"/>
      <c r="U69" s="8"/>
      <c r="V69" s="5"/>
    </row>
    <row r="70" spans="1:22" s="9" customFormat="1" ht="15" customHeight="1" x14ac:dyDescent="0.25">
      <c r="A70" s="361"/>
      <c r="B70" s="362"/>
      <c r="C70" s="362"/>
      <c r="D70" s="364" t="s">
        <v>51</v>
      </c>
      <c r="E70" s="364"/>
      <c r="F70" s="364"/>
      <c r="G70" s="364"/>
      <c r="H70" s="364"/>
      <c r="I70" s="364"/>
      <c r="J70" s="364"/>
      <c r="K70" s="364"/>
      <c r="L70" s="364"/>
      <c r="M70" s="54"/>
      <c r="N70" s="11">
        <f>SUMIF($M$61:$M$67,D70,$N$61:$N$67)</f>
        <v>4517937.9000000004</v>
      </c>
      <c r="O70" s="11">
        <f>SUMIF($M$61:$M$67,D70,$O$61:$O$67)</f>
        <v>4517937.9000000004</v>
      </c>
      <c r="P70" s="11"/>
      <c r="Q70" s="11">
        <f>SUMIF($M$61:$M$67,D70,$Q$61:$Q$67)</f>
        <v>2104966.73</v>
      </c>
      <c r="R70" s="11">
        <f>SUMIF($M$61:$M$67,D70,$R$61:$R$67)</f>
        <v>3797706.99</v>
      </c>
      <c r="S70" s="11">
        <f>SUMIF($M$61:$M$67,D70,$S$61:$S$67)</f>
        <v>2412971.17</v>
      </c>
      <c r="T70" s="286"/>
      <c r="U70" s="8"/>
      <c r="V70" s="5"/>
    </row>
    <row r="71" spans="1:22" s="9" customFormat="1" ht="15" thickBot="1" x14ac:dyDescent="0.3">
      <c r="A71" s="369"/>
      <c r="B71" s="370"/>
      <c r="C71" s="370"/>
      <c r="D71" s="371" t="s">
        <v>71</v>
      </c>
      <c r="E71" s="371"/>
      <c r="F71" s="371"/>
      <c r="G71" s="371"/>
      <c r="H71" s="371"/>
      <c r="I71" s="371"/>
      <c r="J71" s="371"/>
      <c r="K71" s="371"/>
      <c r="L71" s="371"/>
      <c r="M71" s="57"/>
      <c r="N71" s="12">
        <f>SUMIF($M$61:$M$67,D71,$N$61:$N$67)</f>
        <v>0</v>
      </c>
      <c r="O71" s="12">
        <f>SUMIF($M$61:$M$67,D71,$O$61:$O$67)</f>
        <v>0</v>
      </c>
      <c r="P71" s="12"/>
      <c r="Q71" s="12">
        <f>SUMIF($M$61:$M$67,D71,$Q$61:$Q$67)</f>
        <v>0</v>
      </c>
      <c r="R71" s="12">
        <f>SUMIF($M$61:$M$67,D71,$R$61:$R$67)</f>
        <v>0</v>
      </c>
      <c r="S71" s="12">
        <f>SUMIF($M$61:$M$67,D71,$S$61:$S$67)</f>
        <v>0</v>
      </c>
      <c r="T71" s="288"/>
      <c r="U71" s="8"/>
      <c r="V71" s="5"/>
    </row>
    <row r="72" spans="1:22" s="2" customFormat="1" ht="77.25" customHeight="1" outlineLevel="1" x14ac:dyDescent="0.25">
      <c r="A72" s="258">
        <v>40</v>
      </c>
      <c r="B72" s="265" t="s">
        <v>154</v>
      </c>
      <c r="C72" s="259" t="s">
        <v>155</v>
      </c>
      <c r="D72" s="259" t="s">
        <v>93</v>
      </c>
      <c r="E72" s="259"/>
      <c r="F72" s="259"/>
      <c r="G72" s="259"/>
      <c r="H72" s="259"/>
      <c r="I72" s="259"/>
      <c r="J72" s="259"/>
      <c r="K72" s="259" t="s">
        <v>335</v>
      </c>
      <c r="L72" s="259" t="s">
        <v>156</v>
      </c>
      <c r="M72" s="260" t="s">
        <v>51</v>
      </c>
      <c r="N72" s="280">
        <v>361332</v>
      </c>
      <c r="O72" s="280">
        <v>361332</v>
      </c>
      <c r="P72" s="279">
        <v>7.7700000000000005E-2</v>
      </c>
      <c r="Q72" s="280">
        <v>219031</v>
      </c>
      <c r="R72" s="280">
        <f>187530</f>
        <v>187530</v>
      </c>
      <c r="S72" s="261">
        <f>O72-Q72</f>
        <v>142301</v>
      </c>
      <c r="T72" s="204" t="s">
        <v>157</v>
      </c>
      <c r="U72" s="1"/>
      <c r="V72" s="5"/>
    </row>
    <row r="73" spans="1:22" ht="64.5" customHeight="1" outlineLevel="1" x14ac:dyDescent="0.25">
      <c r="A73" s="258">
        <v>41</v>
      </c>
      <c r="B73" s="265" t="s">
        <v>158</v>
      </c>
      <c r="C73" s="259" t="s">
        <v>159</v>
      </c>
      <c r="D73" s="248" t="s">
        <v>118</v>
      </c>
      <c r="E73" s="266"/>
      <c r="F73" s="266"/>
      <c r="G73" s="266"/>
      <c r="H73" s="266"/>
      <c r="I73" s="266"/>
      <c r="J73" s="266"/>
      <c r="K73" s="263" t="s">
        <v>336</v>
      </c>
      <c r="L73" s="280" t="s">
        <v>160</v>
      </c>
      <c r="M73" s="260" t="s">
        <v>29</v>
      </c>
      <c r="N73" s="280">
        <v>8000000</v>
      </c>
      <c r="O73" s="280">
        <v>80000</v>
      </c>
      <c r="P73" s="279" t="s">
        <v>44</v>
      </c>
      <c r="Q73" s="280">
        <f>10909.09+3636.36+3636.36+1428217/392.76+1554016/427.35+3636.4</f>
        <v>29090.971703756208</v>
      </c>
      <c r="R73" s="280">
        <f>105386.95+361.72+42360.02+4761284/392.76+5116448/427.35+12019.8</f>
        <v>184223.61988818215</v>
      </c>
      <c r="S73" s="261">
        <f>O73-Q73</f>
        <v>50909.028296243792</v>
      </c>
      <c r="T73" s="204" t="s">
        <v>161</v>
      </c>
      <c r="V73" s="5"/>
    </row>
    <row r="74" spans="1:22" ht="53.25" customHeight="1" outlineLevel="1" x14ac:dyDescent="0.25">
      <c r="A74" s="258">
        <v>42</v>
      </c>
      <c r="B74" s="265" t="s">
        <v>158</v>
      </c>
      <c r="C74" s="259" t="s">
        <v>162</v>
      </c>
      <c r="D74" s="248" t="s">
        <v>126</v>
      </c>
      <c r="E74" s="266"/>
      <c r="F74" s="266"/>
      <c r="G74" s="266"/>
      <c r="H74" s="266"/>
      <c r="I74" s="266"/>
      <c r="J74" s="266"/>
      <c r="K74" s="263" t="s">
        <v>337</v>
      </c>
      <c r="L74" s="280" t="s">
        <v>160</v>
      </c>
      <c r="M74" s="260" t="s">
        <v>29</v>
      </c>
      <c r="N74" s="280">
        <v>8000000</v>
      </c>
      <c r="O74" s="280"/>
      <c r="P74" s="279" t="s">
        <v>44</v>
      </c>
      <c r="Q74" s="280"/>
      <c r="R74" s="280"/>
      <c r="S74" s="261">
        <f>O74-Q74</f>
        <v>0</v>
      </c>
      <c r="T74" s="204" t="s">
        <v>161</v>
      </c>
      <c r="V74" s="5"/>
    </row>
    <row r="75" spans="1:22" ht="53.25" customHeight="1" outlineLevel="1" x14ac:dyDescent="0.25">
      <c r="A75" s="321">
        <v>43</v>
      </c>
      <c r="B75" s="330" t="s">
        <v>163</v>
      </c>
      <c r="C75" s="322" t="s">
        <v>264</v>
      </c>
      <c r="D75" s="248" t="s">
        <v>118</v>
      </c>
      <c r="E75" s="266"/>
      <c r="F75" s="266"/>
      <c r="G75" s="266"/>
      <c r="H75" s="266"/>
      <c r="I75" s="266"/>
      <c r="J75" s="266"/>
      <c r="K75" s="263" t="s">
        <v>338</v>
      </c>
      <c r="L75" s="322" t="s">
        <v>281</v>
      </c>
      <c r="M75" s="260" t="s">
        <v>29</v>
      </c>
      <c r="N75" s="280">
        <v>5500000</v>
      </c>
      <c r="O75" s="280">
        <f>1384955.78+492272.39+301757.1+219245.55+25340.75</f>
        <v>2423571.5699999998</v>
      </c>
      <c r="P75" s="279" t="s">
        <v>44</v>
      </c>
      <c r="Q75" s="280"/>
      <c r="R75" s="280"/>
      <c r="S75" s="261">
        <f t="shared" ref="S75:S97" si="5">O75-Q75</f>
        <v>2423571.5699999998</v>
      </c>
      <c r="T75" s="204" t="s">
        <v>76</v>
      </c>
      <c r="V75" s="5"/>
    </row>
    <row r="76" spans="1:22" ht="31.5" customHeight="1" outlineLevel="1" x14ac:dyDescent="0.25">
      <c r="A76" s="311"/>
      <c r="B76" s="331"/>
      <c r="C76" s="314"/>
      <c r="D76" s="248" t="s">
        <v>463</v>
      </c>
      <c r="E76" s="266"/>
      <c r="F76" s="266"/>
      <c r="G76" s="266"/>
      <c r="H76" s="266"/>
      <c r="I76" s="266"/>
      <c r="J76" s="266"/>
      <c r="K76" s="263"/>
      <c r="L76" s="314"/>
      <c r="M76" s="264" t="s">
        <v>2</v>
      </c>
      <c r="N76" s="280">
        <v>92733053.200000003</v>
      </c>
      <c r="O76" s="280">
        <f>92733053.2+20276600+1679251+16492341.9+20399976.4+42969092+26833268.5</f>
        <v>221383583</v>
      </c>
      <c r="P76" s="279"/>
      <c r="Q76" s="280"/>
      <c r="R76" s="280"/>
      <c r="S76" s="261">
        <f t="shared" si="5"/>
        <v>221383583</v>
      </c>
      <c r="T76" s="204"/>
      <c r="V76" s="5"/>
    </row>
    <row r="77" spans="1:22" ht="54" outlineLevel="1" x14ac:dyDescent="0.25">
      <c r="A77" s="258">
        <v>44</v>
      </c>
      <c r="B77" s="265" t="s">
        <v>164</v>
      </c>
      <c r="C77" s="259" t="s">
        <v>165</v>
      </c>
      <c r="D77" s="259" t="s">
        <v>463</v>
      </c>
      <c r="E77" s="266"/>
      <c r="F77" s="266"/>
      <c r="G77" s="266"/>
      <c r="H77" s="266"/>
      <c r="I77" s="266"/>
      <c r="J77" s="266"/>
      <c r="K77" s="263" t="s">
        <v>339</v>
      </c>
      <c r="L77" s="280" t="s">
        <v>166</v>
      </c>
      <c r="M77" s="264" t="s">
        <v>2</v>
      </c>
      <c r="N77" s="280">
        <v>249300000</v>
      </c>
      <c r="O77" s="280">
        <v>249300000</v>
      </c>
      <c r="P77" s="281">
        <v>1E-3</v>
      </c>
      <c r="Q77" s="280">
        <f>42881892.9</f>
        <v>42881892.899999999</v>
      </c>
      <c r="R77" s="280">
        <f>528153.5</f>
        <v>528153.5</v>
      </c>
      <c r="S77" s="261">
        <f t="shared" si="5"/>
        <v>206418107.09999999</v>
      </c>
      <c r="T77" s="204" t="s">
        <v>76</v>
      </c>
      <c r="V77" s="5"/>
    </row>
    <row r="78" spans="1:22" ht="148.5" outlineLevel="1" x14ac:dyDescent="0.25">
      <c r="A78" s="258">
        <v>45</v>
      </c>
      <c r="B78" s="251" t="s">
        <v>107</v>
      </c>
      <c r="C78" s="240" t="s">
        <v>108</v>
      </c>
      <c r="D78" s="248" t="s">
        <v>101</v>
      </c>
      <c r="E78" s="266"/>
      <c r="F78" s="266"/>
      <c r="G78" s="266"/>
      <c r="H78" s="266"/>
      <c r="I78" s="266"/>
      <c r="J78" s="266"/>
      <c r="K78" s="253" t="s">
        <v>340</v>
      </c>
      <c r="L78" s="255" t="s">
        <v>109</v>
      </c>
      <c r="M78" s="260" t="s">
        <v>51</v>
      </c>
      <c r="N78" s="280">
        <v>4000000</v>
      </c>
      <c r="O78" s="280">
        <v>869162.07</v>
      </c>
      <c r="P78" s="279" t="s">
        <v>44</v>
      </c>
      <c r="Q78" s="280">
        <f>465353.9+34986668/397.71</f>
        <v>553324.19996731286</v>
      </c>
      <c r="R78" s="280">
        <f>188098.2+7483550/397.71</f>
        <v>206914.80003520154</v>
      </c>
      <c r="S78" s="270">
        <f>O78-Q78</f>
        <v>315837.87003268709</v>
      </c>
      <c r="T78" s="277" t="s">
        <v>110</v>
      </c>
      <c r="V78" s="5"/>
    </row>
    <row r="79" spans="1:22" s="4" customFormat="1" ht="40.5" outlineLevel="1" x14ac:dyDescent="0.25">
      <c r="A79" s="258">
        <v>46</v>
      </c>
      <c r="B79" s="265" t="s">
        <v>167</v>
      </c>
      <c r="C79" s="259" t="s">
        <v>133</v>
      </c>
      <c r="D79" s="264" t="s">
        <v>473</v>
      </c>
      <c r="E79" s="266" t="s">
        <v>2</v>
      </c>
      <c r="F79" s="266"/>
      <c r="G79" s="259"/>
      <c r="H79" s="259"/>
      <c r="I79" s="259"/>
      <c r="J79" s="259"/>
      <c r="K79" s="264" t="s">
        <v>341</v>
      </c>
      <c r="L79" s="264" t="s">
        <v>291</v>
      </c>
      <c r="M79" s="264" t="s">
        <v>2</v>
      </c>
      <c r="N79" s="60">
        <v>50600000</v>
      </c>
      <c r="O79" s="280">
        <v>50600000</v>
      </c>
      <c r="P79" s="265" t="s">
        <v>168</v>
      </c>
      <c r="Q79" s="280"/>
      <c r="R79" s="280"/>
      <c r="S79" s="60">
        <f t="shared" si="5"/>
        <v>50600000</v>
      </c>
      <c r="T79" s="204" t="s">
        <v>76</v>
      </c>
      <c r="U79" s="3"/>
      <c r="V79" s="5"/>
    </row>
    <row r="80" spans="1:22" s="4" customFormat="1" ht="40.5" outlineLevel="1" x14ac:dyDescent="0.25">
      <c r="A80" s="258">
        <v>47</v>
      </c>
      <c r="B80" s="265" t="s">
        <v>167</v>
      </c>
      <c r="C80" s="259" t="s">
        <v>133</v>
      </c>
      <c r="D80" s="264" t="s">
        <v>473</v>
      </c>
      <c r="E80" s="266" t="s">
        <v>2</v>
      </c>
      <c r="F80" s="266"/>
      <c r="G80" s="266"/>
      <c r="H80" s="266"/>
      <c r="I80" s="266"/>
      <c r="J80" s="266"/>
      <c r="K80" s="264" t="s">
        <v>342</v>
      </c>
      <c r="L80" s="264" t="s">
        <v>292</v>
      </c>
      <c r="M80" s="259" t="s">
        <v>2</v>
      </c>
      <c r="N80" s="60">
        <v>1100000000</v>
      </c>
      <c r="O80" s="280">
        <v>1100000000</v>
      </c>
      <c r="P80" s="265" t="s">
        <v>168</v>
      </c>
      <c r="Q80" s="280"/>
      <c r="R80" s="280"/>
      <c r="S80" s="60">
        <f t="shared" si="5"/>
        <v>1100000000</v>
      </c>
      <c r="T80" s="406" t="s">
        <v>267</v>
      </c>
      <c r="U80" s="3"/>
      <c r="V80" s="5"/>
    </row>
    <row r="81" spans="1:22" s="4" customFormat="1" ht="40.5" outlineLevel="1" x14ac:dyDescent="0.25">
      <c r="A81" s="258">
        <v>48</v>
      </c>
      <c r="B81" s="265" t="s">
        <v>167</v>
      </c>
      <c r="C81" s="259" t="s">
        <v>133</v>
      </c>
      <c r="D81" s="264" t="s">
        <v>473</v>
      </c>
      <c r="E81" s="266" t="s">
        <v>2</v>
      </c>
      <c r="F81" s="266"/>
      <c r="G81" s="266"/>
      <c r="H81" s="266"/>
      <c r="I81" s="266"/>
      <c r="J81" s="266"/>
      <c r="K81" s="264" t="s">
        <v>343</v>
      </c>
      <c r="L81" s="264" t="s">
        <v>293</v>
      </c>
      <c r="M81" s="259" t="s">
        <v>2</v>
      </c>
      <c r="N81" s="60">
        <v>792386600</v>
      </c>
      <c r="O81" s="280">
        <v>791031693</v>
      </c>
      <c r="P81" s="265" t="s">
        <v>168</v>
      </c>
      <c r="Q81" s="280"/>
      <c r="R81" s="280"/>
      <c r="S81" s="60">
        <f t="shared" si="5"/>
        <v>791031693</v>
      </c>
      <c r="T81" s="407"/>
      <c r="U81" s="3"/>
      <c r="V81" s="5"/>
    </row>
    <row r="82" spans="1:22" s="4" customFormat="1" ht="40.5" outlineLevel="1" x14ac:dyDescent="0.25">
      <c r="A82" s="258">
        <v>49</v>
      </c>
      <c r="B82" s="265" t="s">
        <v>167</v>
      </c>
      <c r="C82" s="259" t="s">
        <v>133</v>
      </c>
      <c r="D82" s="264" t="s">
        <v>473</v>
      </c>
      <c r="E82" s="266" t="s">
        <v>2</v>
      </c>
      <c r="F82" s="266"/>
      <c r="G82" s="266"/>
      <c r="H82" s="266"/>
      <c r="I82" s="266"/>
      <c r="J82" s="266"/>
      <c r="K82" s="264" t="s">
        <v>344</v>
      </c>
      <c r="L82" s="264" t="s">
        <v>294</v>
      </c>
      <c r="M82" s="259" t="s">
        <v>2</v>
      </c>
      <c r="N82" s="60">
        <v>254672300</v>
      </c>
      <c r="O82" s="280">
        <f>168444408+75498000+5196300+5196300</f>
        <v>254335008</v>
      </c>
      <c r="P82" s="265" t="s">
        <v>168</v>
      </c>
      <c r="Q82" s="280"/>
      <c r="R82" s="280"/>
      <c r="S82" s="60">
        <f t="shared" si="5"/>
        <v>254335008</v>
      </c>
      <c r="T82" s="408"/>
      <c r="U82" s="3"/>
      <c r="V82" s="5"/>
    </row>
    <row r="83" spans="1:22" s="4" customFormat="1" ht="40.5" outlineLevel="1" x14ac:dyDescent="0.25">
      <c r="A83" s="258">
        <v>50</v>
      </c>
      <c r="B83" s="265" t="s">
        <v>169</v>
      </c>
      <c r="C83" s="259" t="s">
        <v>133</v>
      </c>
      <c r="D83" s="264" t="s">
        <v>463</v>
      </c>
      <c r="E83" s="266" t="s">
        <v>2</v>
      </c>
      <c r="F83" s="266"/>
      <c r="G83" s="266"/>
      <c r="H83" s="266"/>
      <c r="I83" s="266"/>
      <c r="J83" s="266"/>
      <c r="K83" s="264" t="s">
        <v>345</v>
      </c>
      <c r="L83" s="264" t="s">
        <v>170</v>
      </c>
      <c r="M83" s="259" t="s">
        <v>2</v>
      </c>
      <c r="N83" s="60">
        <v>88731015</v>
      </c>
      <c r="O83" s="280">
        <v>88731000</v>
      </c>
      <c r="P83" s="62">
        <v>8.5000000000000006E-2</v>
      </c>
      <c r="Q83" s="280"/>
      <c r="R83" s="280">
        <v>1591081</v>
      </c>
      <c r="S83" s="60">
        <f t="shared" si="5"/>
        <v>88731000</v>
      </c>
      <c r="T83" s="289" t="s">
        <v>171</v>
      </c>
      <c r="U83" s="3"/>
      <c r="V83" s="5"/>
    </row>
    <row r="84" spans="1:22" s="4" customFormat="1" ht="40.5" outlineLevel="1" x14ac:dyDescent="0.25">
      <c r="A84" s="258">
        <v>51</v>
      </c>
      <c r="B84" s="265" t="s">
        <v>172</v>
      </c>
      <c r="C84" s="259" t="s">
        <v>173</v>
      </c>
      <c r="D84" s="264" t="s">
        <v>463</v>
      </c>
      <c r="E84" s="266" t="s">
        <v>2</v>
      </c>
      <c r="F84" s="266"/>
      <c r="G84" s="266"/>
      <c r="H84" s="266"/>
      <c r="I84" s="266"/>
      <c r="J84" s="266"/>
      <c r="K84" s="264" t="s">
        <v>346</v>
      </c>
      <c r="L84" s="264" t="s">
        <v>174</v>
      </c>
      <c r="M84" s="259" t="s">
        <v>2</v>
      </c>
      <c r="N84" s="60">
        <v>3840000000</v>
      </c>
      <c r="O84" s="280">
        <v>3840000000</v>
      </c>
      <c r="P84" s="63">
        <v>1.0000000000000001E-5</v>
      </c>
      <c r="Q84" s="280">
        <v>3484641868</v>
      </c>
      <c r="R84" s="280">
        <v>37169</v>
      </c>
      <c r="S84" s="60">
        <f t="shared" si="5"/>
        <v>355358132</v>
      </c>
      <c r="T84" s="289" t="s">
        <v>76</v>
      </c>
      <c r="U84" s="3"/>
      <c r="V84" s="5"/>
    </row>
    <row r="85" spans="1:22" ht="94.5" outlineLevel="1" x14ac:dyDescent="0.25">
      <c r="A85" s="258">
        <v>52</v>
      </c>
      <c r="B85" s="251" t="s">
        <v>175</v>
      </c>
      <c r="C85" s="240" t="s">
        <v>173</v>
      </c>
      <c r="D85" s="240" t="s">
        <v>143</v>
      </c>
      <c r="E85" s="240"/>
      <c r="F85" s="240"/>
      <c r="G85" s="240"/>
      <c r="H85" s="240"/>
      <c r="I85" s="240"/>
      <c r="J85" s="240"/>
      <c r="K85" s="259" t="s">
        <v>347</v>
      </c>
      <c r="L85" s="259" t="s">
        <v>176</v>
      </c>
      <c r="M85" s="259" t="s">
        <v>51</v>
      </c>
      <c r="N85" s="64">
        <v>8944984.0899999999</v>
      </c>
      <c r="O85" s="280">
        <v>8944984.0899999999</v>
      </c>
      <c r="P85" s="65">
        <v>7.4999999999999997E-3</v>
      </c>
      <c r="Q85" s="280">
        <f>2425758.4+151609.9+151609.9</f>
        <v>2728978.1999999997</v>
      </c>
      <c r="R85" s="280">
        <f>881276.03+25084.35+24380.12+23943.98</f>
        <v>954684.48</v>
      </c>
      <c r="S85" s="261">
        <f t="shared" si="5"/>
        <v>6216005.8900000006</v>
      </c>
      <c r="T85" s="277" t="s">
        <v>76</v>
      </c>
      <c r="V85" s="5"/>
    </row>
    <row r="86" spans="1:22" ht="55.5" customHeight="1" outlineLevel="1" x14ac:dyDescent="0.25">
      <c r="A86" s="321">
        <v>53</v>
      </c>
      <c r="B86" s="330" t="s">
        <v>177</v>
      </c>
      <c r="C86" s="322" t="s">
        <v>173</v>
      </c>
      <c r="D86" s="322" t="s">
        <v>143</v>
      </c>
      <c r="E86" s="240"/>
      <c r="F86" s="240"/>
      <c r="G86" s="240"/>
      <c r="H86" s="240"/>
      <c r="I86" s="240"/>
      <c r="J86" s="240"/>
      <c r="K86" s="322" t="s">
        <v>348</v>
      </c>
      <c r="L86" s="259" t="s">
        <v>178</v>
      </c>
      <c r="M86" s="259" t="s">
        <v>51</v>
      </c>
      <c r="N86" s="64">
        <v>5217725</v>
      </c>
      <c r="O86" s="280">
        <v>5217725</v>
      </c>
      <c r="P86" s="65">
        <v>7.4999999999999997E-3</v>
      </c>
      <c r="Q86" s="280">
        <f>782658.5+52177.25+52177.25</f>
        <v>887013</v>
      </c>
      <c r="R86" s="280">
        <f>538816.19+16480.36</f>
        <v>555296.54999999993</v>
      </c>
      <c r="S86" s="261">
        <f t="shared" si="5"/>
        <v>4330712</v>
      </c>
      <c r="T86" s="401" t="s">
        <v>76</v>
      </c>
      <c r="V86" s="5"/>
    </row>
    <row r="87" spans="1:22" ht="55.5" customHeight="1" outlineLevel="1" x14ac:dyDescent="0.25">
      <c r="A87" s="372"/>
      <c r="B87" s="352"/>
      <c r="C87" s="332"/>
      <c r="D87" s="332"/>
      <c r="E87" s="240"/>
      <c r="F87" s="240"/>
      <c r="G87" s="240"/>
      <c r="H87" s="240"/>
      <c r="I87" s="240"/>
      <c r="J87" s="240"/>
      <c r="K87" s="332"/>
      <c r="L87" s="259" t="s">
        <v>178</v>
      </c>
      <c r="M87" s="259" t="s">
        <v>2</v>
      </c>
      <c r="N87" s="64">
        <v>93025000</v>
      </c>
      <c r="O87" s="280">
        <v>93025000</v>
      </c>
      <c r="P87" s="65">
        <v>7.4999999999999997E-3</v>
      </c>
      <c r="Q87" s="280">
        <f>13953750+930250+930250</f>
        <v>15814250</v>
      </c>
      <c r="R87" s="280">
        <f>9237334.28+296030</f>
        <v>9533364.2799999993</v>
      </c>
      <c r="S87" s="261">
        <f t="shared" si="5"/>
        <v>77210750</v>
      </c>
      <c r="T87" s="404"/>
      <c r="V87" s="5"/>
    </row>
    <row r="88" spans="1:22" ht="94.5" outlineLevel="1" x14ac:dyDescent="0.25">
      <c r="A88" s="258">
        <v>54</v>
      </c>
      <c r="B88" s="251" t="s">
        <v>179</v>
      </c>
      <c r="C88" s="240" t="s">
        <v>173</v>
      </c>
      <c r="D88" s="240" t="s">
        <v>143</v>
      </c>
      <c r="E88" s="240"/>
      <c r="F88" s="240"/>
      <c r="G88" s="240"/>
      <c r="H88" s="240"/>
      <c r="I88" s="240"/>
      <c r="J88" s="240"/>
      <c r="K88" s="259" t="s">
        <v>349</v>
      </c>
      <c r="L88" s="259" t="s">
        <v>180</v>
      </c>
      <c r="M88" s="259" t="s">
        <v>51</v>
      </c>
      <c r="N88" s="64">
        <v>1989000</v>
      </c>
      <c r="O88" s="280">
        <v>1989000</v>
      </c>
      <c r="P88" s="65">
        <v>7.4999999999999997E-3</v>
      </c>
      <c r="Q88" s="280">
        <f>337118.7+33711.86+33711.86</f>
        <v>404542.42</v>
      </c>
      <c r="R88" s="280">
        <f>177150.18+6084.76</f>
        <v>183234.94</v>
      </c>
      <c r="S88" s="261">
        <f t="shared" si="5"/>
        <v>1584457.58</v>
      </c>
      <c r="T88" s="277" t="s">
        <v>76</v>
      </c>
      <c r="V88" s="5"/>
    </row>
    <row r="89" spans="1:22" ht="108" outlineLevel="1" x14ac:dyDescent="0.25">
      <c r="A89" s="258">
        <v>55</v>
      </c>
      <c r="B89" s="251" t="s">
        <v>295</v>
      </c>
      <c r="C89" s="240" t="s">
        <v>296</v>
      </c>
      <c r="D89" s="240" t="s">
        <v>143</v>
      </c>
      <c r="E89" s="240" t="s">
        <v>431</v>
      </c>
      <c r="F89" s="240">
        <v>2190000</v>
      </c>
      <c r="G89" s="240"/>
      <c r="H89" s="240"/>
      <c r="I89" s="240"/>
      <c r="J89" s="240"/>
      <c r="K89" s="240" t="s">
        <v>350</v>
      </c>
      <c r="L89" s="240" t="s">
        <v>297</v>
      </c>
      <c r="M89" s="259" t="s">
        <v>2</v>
      </c>
      <c r="N89" s="64">
        <v>2047212646</v>
      </c>
      <c r="O89" s="255">
        <v>2047212646</v>
      </c>
      <c r="P89" s="65">
        <v>0.02</v>
      </c>
      <c r="Q89" s="280">
        <v>0</v>
      </c>
      <c r="R89" s="280">
        <f>88017538.4+20640391+20640391+20303862+20640391</f>
        <v>170242573.40000001</v>
      </c>
      <c r="S89" s="261">
        <f t="shared" si="5"/>
        <v>2047212646</v>
      </c>
      <c r="T89" s="277" t="s">
        <v>76</v>
      </c>
      <c r="V89" s="5"/>
    </row>
    <row r="90" spans="1:22" ht="256.5" outlineLevel="1" x14ac:dyDescent="0.25">
      <c r="A90" s="249">
        <v>56</v>
      </c>
      <c r="B90" s="251" t="s">
        <v>181</v>
      </c>
      <c r="C90" s="240" t="s">
        <v>182</v>
      </c>
      <c r="D90" s="240" t="s">
        <v>93</v>
      </c>
      <c r="E90" s="240"/>
      <c r="F90" s="240"/>
      <c r="G90" s="240"/>
      <c r="H90" s="240"/>
      <c r="I90" s="240"/>
      <c r="J90" s="240"/>
      <c r="K90" s="240" t="s">
        <v>351</v>
      </c>
      <c r="L90" s="240" t="s">
        <v>183</v>
      </c>
      <c r="M90" s="259" t="s">
        <v>51</v>
      </c>
      <c r="N90" s="64">
        <v>2217000</v>
      </c>
      <c r="O90" s="64">
        <v>2217000</v>
      </c>
      <c r="P90" s="66">
        <v>0.02</v>
      </c>
      <c r="Q90" s="280">
        <f>1656550.78+18166.04+7000680/387.28+18122.86+18122.86+32122.86+28837.1+8000+8000+8000</f>
        <v>1813999.0337740141</v>
      </c>
      <c r="R90" s="280">
        <f>108750.120345235+1633.42+698950/387.28+1809.39+1778.61+1691.44+3308.88+1649.96+1632.88+1515.4</f>
        <v>125574.86692238849</v>
      </c>
      <c r="S90" s="261">
        <f t="shared" si="5"/>
        <v>403000.9662259859</v>
      </c>
      <c r="T90" s="277" t="s">
        <v>184</v>
      </c>
      <c r="V90" s="5"/>
    </row>
    <row r="91" spans="1:22" ht="64.5" customHeight="1" outlineLevel="1" x14ac:dyDescent="0.25">
      <c r="A91" s="258">
        <v>57</v>
      </c>
      <c r="B91" s="265" t="s">
        <v>284</v>
      </c>
      <c r="C91" s="259" t="s">
        <v>285</v>
      </c>
      <c r="D91" s="259" t="s">
        <v>118</v>
      </c>
      <c r="E91" s="259" t="s">
        <v>29</v>
      </c>
      <c r="F91" s="259">
        <v>20000000</v>
      </c>
      <c r="G91" s="259">
        <v>4199559.68</v>
      </c>
      <c r="H91" s="259" t="s">
        <v>288</v>
      </c>
      <c r="I91" s="259"/>
      <c r="J91" s="259"/>
      <c r="K91" s="259" t="s">
        <v>352</v>
      </c>
      <c r="L91" s="240" t="s">
        <v>287</v>
      </c>
      <c r="M91" s="259" t="s">
        <v>29</v>
      </c>
      <c r="N91" s="64">
        <f>4199559.68+12720691.2+1113060.48+1966688.64</f>
        <v>20000000</v>
      </c>
      <c r="O91" s="64">
        <f>N91</f>
        <v>20000000</v>
      </c>
      <c r="P91" s="66" t="s">
        <v>288</v>
      </c>
      <c r="Q91" s="280"/>
      <c r="R91" s="67">
        <f>77849.88+103888.1+413918.01</f>
        <v>595655.99</v>
      </c>
      <c r="S91" s="261">
        <f t="shared" si="5"/>
        <v>20000000</v>
      </c>
      <c r="T91" s="277" t="s">
        <v>289</v>
      </c>
      <c r="V91" s="5"/>
    </row>
    <row r="92" spans="1:22" s="4" customFormat="1" ht="38.25" customHeight="1" outlineLevel="1" x14ac:dyDescent="0.25">
      <c r="A92" s="372">
        <v>58</v>
      </c>
      <c r="B92" s="352" t="s">
        <v>185</v>
      </c>
      <c r="C92" s="332" t="s">
        <v>186</v>
      </c>
      <c r="D92" s="332"/>
      <c r="E92" s="275" t="s">
        <v>51</v>
      </c>
      <c r="F92" s="275"/>
      <c r="G92" s="275"/>
      <c r="H92" s="275"/>
      <c r="I92" s="275"/>
      <c r="J92" s="275"/>
      <c r="K92" s="333" t="s">
        <v>353</v>
      </c>
      <c r="L92" s="324" t="s">
        <v>187</v>
      </c>
      <c r="M92" s="260" t="s">
        <v>51</v>
      </c>
      <c r="N92" s="60">
        <v>237758.39</v>
      </c>
      <c r="O92" s="280">
        <v>237758.39</v>
      </c>
      <c r="P92" s="281"/>
      <c r="Q92" s="280"/>
      <c r="R92" s="280"/>
      <c r="S92" s="60">
        <f t="shared" si="5"/>
        <v>237758.39</v>
      </c>
      <c r="T92" s="401" t="s">
        <v>76</v>
      </c>
      <c r="U92" s="3"/>
      <c r="V92" s="5"/>
    </row>
    <row r="93" spans="1:22" s="4" customFormat="1" ht="45" customHeight="1" outlineLevel="1" x14ac:dyDescent="0.25">
      <c r="A93" s="372"/>
      <c r="B93" s="331"/>
      <c r="C93" s="314"/>
      <c r="D93" s="314"/>
      <c r="E93" s="273"/>
      <c r="F93" s="273"/>
      <c r="G93" s="273"/>
      <c r="H93" s="273"/>
      <c r="I93" s="273"/>
      <c r="J93" s="273"/>
      <c r="K93" s="315"/>
      <c r="L93" s="315"/>
      <c r="M93" s="47" t="s">
        <v>2</v>
      </c>
      <c r="N93" s="68">
        <v>28883700</v>
      </c>
      <c r="O93" s="280">
        <v>28883700</v>
      </c>
      <c r="P93" s="257"/>
      <c r="Q93" s="280"/>
      <c r="R93" s="280"/>
      <c r="S93" s="60">
        <f t="shared" si="5"/>
        <v>28883700</v>
      </c>
      <c r="T93" s="402"/>
      <c r="U93" s="3"/>
      <c r="V93" s="5"/>
    </row>
    <row r="94" spans="1:22" s="2" customFormat="1" ht="40.5" customHeight="1" outlineLevel="1" x14ac:dyDescent="0.25">
      <c r="A94" s="249">
        <v>59</v>
      </c>
      <c r="B94" s="251" t="s">
        <v>111</v>
      </c>
      <c r="C94" s="240" t="s">
        <v>112</v>
      </c>
      <c r="D94" s="240" t="s">
        <v>463</v>
      </c>
      <c r="E94" s="240"/>
      <c r="F94" s="240"/>
      <c r="G94" s="240"/>
      <c r="H94" s="240"/>
      <c r="I94" s="240"/>
      <c r="J94" s="240"/>
      <c r="K94" s="240" t="s">
        <v>354</v>
      </c>
      <c r="L94" s="240" t="s">
        <v>114</v>
      </c>
      <c r="M94" s="240" t="s">
        <v>2</v>
      </c>
      <c r="N94" s="255">
        <v>303444194</v>
      </c>
      <c r="O94" s="255">
        <v>303444194</v>
      </c>
      <c r="P94" s="257">
        <v>0</v>
      </c>
      <c r="Q94" s="255"/>
      <c r="R94" s="255"/>
      <c r="S94" s="270">
        <f t="shared" si="5"/>
        <v>303444194</v>
      </c>
      <c r="T94" s="277" t="s">
        <v>76</v>
      </c>
      <c r="U94" s="1"/>
      <c r="V94" s="5"/>
    </row>
    <row r="95" spans="1:22" ht="51" customHeight="1" x14ac:dyDescent="0.25">
      <c r="A95" s="258">
        <v>60</v>
      </c>
      <c r="B95" s="265" t="s">
        <v>440</v>
      </c>
      <c r="C95" s="259" t="s">
        <v>441</v>
      </c>
      <c r="D95" s="259" t="s">
        <v>463</v>
      </c>
      <c r="E95" s="259"/>
      <c r="F95" s="259"/>
      <c r="G95" s="259"/>
      <c r="H95" s="259"/>
      <c r="I95" s="259"/>
      <c r="J95" s="259"/>
      <c r="K95" s="259" t="s">
        <v>442</v>
      </c>
      <c r="L95" s="259" t="s">
        <v>443</v>
      </c>
      <c r="M95" s="259" t="s">
        <v>2</v>
      </c>
      <c r="N95" s="280">
        <v>1600000000</v>
      </c>
      <c r="O95" s="40">
        <v>1600000000</v>
      </c>
      <c r="P95" s="62">
        <v>0.06</v>
      </c>
      <c r="Q95" s="40">
        <f>16666667+16666667</f>
        <v>33333334</v>
      </c>
      <c r="R95" s="40">
        <f>14728767+7827397</f>
        <v>22556164</v>
      </c>
      <c r="S95" s="60">
        <f t="shared" si="5"/>
        <v>1566666666</v>
      </c>
      <c r="T95" s="204" t="s">
        <v>444</v>
      </c>
      <c r="V95" s="5"/>
    </row>
    <row r="96" spans="1:22" ht="155.25" customHeight="1" x14ac:dyDescent="0.25">
      <c r="A96" s="250">
        <v>61</v>
      </c>
      <c r="B96" s="244" t="s">
        <v>481</v>
      </c>
      <c r="C96" s="259" t="s">
        <v>441</v>
      </c>
      <c r="D96" s="259" t="s">
        <v>463</v>
      </c>
      <c r="E96" s="245"/>
      <c r="F96" s="245"/>
      <c r="G96" s="245"/>
      <c r="H96" s="245"/>
      <c r="I96" s="245"/>
      <c r="J96" s="245"/>
      <c r="K96" s="245"/>
      <c r="L96" s="259" t="s">
        <v>482</v>
      </c>
      <c r="M96" s="259" t="s">
        <v>2</v>
      </c>
      <c r="N96" s="256">
        <v>3500000000</v>
      </c>
      <c r="O96" s="256">
        <v>3500000000</v>
      </c>
      <c r="P96" s="62">
        <v>0.08</v>
      </c>
      <c r="Q96" s="192"/>
      <c r="R96" s="192"/>
      <c r="S96" s="60">
        <f t="shared" si="5"/>
        <v>3500000000</v>
      </c>
      <c r="T96" s="278" t="s">
        <v>483</v>
      </c>
      <c r="V96" s="5"/>
    </row>
    <row r="97" spans="1:22" s="2" customFormat="1" ht="47.25" customHeight="1" outlineLevel="1" x14ac:dyDescent="0.25">
      <c r="A97" s="250">
        <v>62</v>
      </c>
      <c r="B97" s="245" t="s">
        <v>484</v>
      </c>
      <c r="C97" s="245" t="s">
        <v>441</v>
      </c>
      <c r="D97" s="245" t="s">
        <v>463</v>
      </c>
      <c r="E97" s="245"/>
      <c r="F97" s="245"/>
      <c r="G97" s="245"/>
      <c r="H97" s="245"/>
      <c r="I97" s="245"/>
      <c r="J97" s="245"/>
      <c r="K97" s="99" t="s">
        <v>447</v>
      </c>
      <c r="L97" s="245" t="s">
        <v>263</v>
      </c>
      <c r="M97" s="245" t="s">
        <v>2</v>
      </c>
      <c r="N97" s="256">
        <v>2000000000</v>
      </c>
      <c r="O97" s="256">
        <v>2000000000</v>
      </c>
      <c r="P97" s="269">
        <v>1E-4</v>
      </c>
      <c r="Q97" s="256"/>
      <c r="R97" s="256"/>
      <c r="S97" s="272">
        <f t="shared" si="5"/>
        <v>2000000000</v>
      </c>
      <c r="T97" s="278" t="s">
        <v>448</v>
      </c>
      <c r="U97" s="1"/>
      <c r="V97" s="5"/>
    </row>
    <row r="98" spans="1:22" s="2" customFormat="1" ht="47.25" customHeight="1" outlineLevel="1" x14ac:dyDescent="0.25">
      <c r="A98" s="250">
        <v>63</v>
      </c>
      <c r="B98" s="245" t="s">
        <v>188</v>
      </c>
      <c r="C98" s="245" t="s">
        <v>189</v>
      </c>
      <c r="D98" s="245" t="s">
        <v>485</v>
      </c>
      <c r="E98" s="245" t="s">
        <v>51</v>
      </c>
      <c r="F98" s="245"/>
      <c r="G98" s="245"/>
      <c r="H98" s="245"/>
      <c r="I98" s="245"/>
      <c r="J98" s="245"/>
      <c r="K98" s="99" t="s">
        <v>355</v>
      </c>
      <c r="L98" s="245" t="s">
        <v>191</v>
      </c>
      <c r="M98" s="245" t="s">
        <v>51</v>
      </c>
      <c r="N98" s="256">
        <v>10000000</v>
      </c>
      <c r="O98" s="256">
        <v>10000000</v>
      </c>
      <c r="P98" s="269" t="s">
        <v>192</v>
      </c>
      <c r="Q98" s="256">
        <v>2553676.86</v>
      </c>
      <c r="R98" s="256">
        <f>3533579.15874841+18816925/512.41+16022937.4/426.85+37537.63+37130+36723+37538+'[2]15,08,20 գործող'!$I$55+'[2]15,08,20 գործող'!$I$56+121220</f>
        <v>3953063.4704706864</v>
      </c>
      <c r="S98" s="272">
        <f>O98-Q98</f>
        <v>7446323.1400000006</v>
      </c>
      <c r="T98" s="278" t="s">
        <v>193</v>
      </c>
      <c r="U98" s="1"/>
      <c r="V98" s="5"/>
    </row>
    <row r="99" spans="1:22" s="2" customFormat="1" ht="51" customHeight="1" outlineLevel="1" thickBot="1" x14ac:dyDescent="0.3">
      <c r="A99" s="258">
        <v>64</v>
      </c>
      <c r="B99" s="259" t="s">
        <v>188</v>
      </c>
      <c r="C99" s="259" t="s">
        <v>133</v>
      </c>
      <c r="D99" s="259" t="s">
        <v>485</v>
      </c>
      <c r="E99" s="259"/>
      <c r="F99" s="259"/>
      <c r="G99" s="259"/>
      <c r="H99" s="259"/>
      <c r="I99" s="259"/>
      <c r="J99" s="259"/>
      <c r="K99" s="58" t="s">
        <v>356</v>
      </c>
      <c r="L99" s="259" t="s">
        <v>194</v>
      </c>
      <c r="M99" s="259" t="s">
        <v>2</v>
      </c>
      <c r="N99" s="280">
        <v>8000000000</v>
      </c>
      <c r="O99" s="280">
        <v>8000000000</v>
      </c>
      <c r="P99" s="279" t="s">
        <v>195</v>
      </c>
      <c r="Q99" s="280"/>
      <c r="R99" s="280">
        <f>3496438357+79342466+80657534+79342466+79342466+1315069+216021918</f>
        <v>4032460276</v>
      </c>
      <c r="S99" s="261">
        <f>O99-Q99</f>
        <v>8000000000</v>
      </c>
      <c r="T99" s="204" t="s">
        <v>196</v>
      </c>
      <c r="U99" s="1"/>
      <c r="V99" s="5"/>
    </row>
    <row r="100" spans="1:22" s="9" customFormat="1" ht="24.75" customHeight="1" x14ac:dyDescent="0.25">
      <c r="A100" s="359" t="s">
        <v>197</v>
      </c>
      <c r="B100" s="360"/>
      <c r="C100" s="360"/>
      <c r="D100" s="363" t="s">
        <v>29</v>
      </c>
      <c r="E100" s="363"/>
      <c r="F100" s="363"/>
      <c r="G100" s="363"/>
      <c r="H100" s="363"/>
      <c r="I100" s="363"/>
      <c r="J100" s="363"/>
      <c r="K100" s="363"/>
      <c r="L100" s="363"/>
      <c r="M100" s="69"/>
      <c r="N100" s="13">
        <f>SUMIF($M$72:$M$99,D100,$N$72:$N$99)</f>
        <v>41500000</v>
      </c>
      <c r="O100" s="13">
        <f>SUMIF($M$72:$M$99,D100,$O$72:$O$99)</f>
        <v>22503571.57</v>
      </c>
      <c r="P100" s="13"/>
      <c r="Q100" s="13">
        <f>SUMIF($M$72:$M$99,D100,$Q$72:$Q$99)</f>
        <v>29090.971703756208</v>
      </c>
      <c r="R100" s="13">
        <f>SUMIF($M$72:$M$99,D100,$R$72:$R$99)</f>
        <v>779879.60988818214</v>
      </c>
      <c r="S100" s="13">
        <f>SUMIF($M$72:$M$99,D100,$S$72:$S$99)</f>
        <v>22474480.598296244</v>
      </c>
      <c r="T100" s="285"/>
      <c r="U100" s="8"/>
      <c r="V100" s="5"/>
    </row>
    <row r="101" spans="1:22" s="9" customFormat="1" ht="39" customHeight="1" x14ac:dyDescent="0.25">
      <c r="A101" s="361"/>
      <c r="B101" s="362"/>
      <c r="C101" s="362"/>
      <c r="D101" s="364" t="s">
        <v>2</v>
      </c>
      <c r="E101" s="364"/>
      <c r="F101" s="364"/>
      <c r="G101" s="364"/>
      <c r="H101" s="364"/>
      <c r="I101" s="364"/>
      <c r="J101" s="364"/>
      <c r="K101" s="364"/>
      <c r="L101" s="364"/>
      <c r="M101" s="54"/>
      <c r="N101" s="11">
        <f>SUMIF($M$72:$M$99,D101,$N$72:$N$99)</f>
        <v>24040988508.200001</v>
      </c>
      <c r="O101" s="11">
        <f>SUMIF($M$72:$M$99,D101,$O$72:$O$99)</f>
        <v>24167946824</v>
      </c>
      <c r="P101" s="11"/>
      <c r="Q101" s="11">
        <f>SUMIF($M$72:$M$99,D101,$Q$72:$Q$99)</f>
        <v>3576671344.9000001</v>
      </c>
      <c r="R101" s="11">
        <f>SUMIF($M$72:$M$99,D101,$R$72:$R$99)</f>
        <v>4236948781.1799998</v>
      </c>
      <c r="S101" s="11">
        <f>SUMIF($M$72:$M$99,D101,$S$72:$S$99)</f>
        <v>20591275479.099998</v>
      </c>
      <c r="T101" s="286"/>
      <c r="U101" s="8"/>
      <c r="V101" s="5"/>
    </row>
    <row r="102" spans="1:22" s="9" customFormat="1" ht="39" customHeight="1" x14ac:dyDescent="0.25">
      <c r="A102" s="361"/>
      <c r="B102" s="362"/>
      <c r="C102" s="362"/>
      <c r="D102" s="364" t="s">
        <v>51</v>
      </c>
      <c r="E102" s="364"/>
      <c r="F102" s="364"/>
      <c r="G102" s="364"/>
      <c r="H102" s="364"/>
      <c r="I102" s="364"/>
      <c r="J102" s="364"/>
      <c r="K102" s="364"/>
      <c r="L102" s="364"/>
      <c r="M102" s="54"/>
      <c r="N102" s="11">
        <f>SUMIF($M$72:$M$99,D102,$N$72:$N$99)</f>
        <v>32967799.48</v>
      </c>
      <c r="O102" s="11">
        <f>SUMIF($M$72:$M$99,D102,$O$72:$O$99)</f>
        <v>29836961.550000001</v>
      </c>
      <c r="P102" s="11"/>
      <c r="Q102" s="11">
        <f>SUMIF($M$72:$M$99,D102,$Q$72:$Q$99)</f>
        <v>9160564.7137413267</v>
      </c>
      <c r="R102" s="11">
        <f>SUMIF($M$72:$M$99,D102,$R$72:$R$99)</f>
        <v>6166299.107428276</v>
      </c>
      <c r="S102" s="11">
        <f>SUMIF($M$72:$M$99,D102,$S$72:$S$99)</f>
        <v>20676396.836258672</v>
      </c>
      <c r="T102" s="286"/>
      <c r="U102" s="8"/>
      <c r="V102" s="5"/>
    </row>
    <row r="103" spans="1:22" s="9" customFormat="1" ht="39" customHeight="1" thickBot="1" x14ac:dyDescent="0.3">
      <c r="A103" s="369"/>
      <c r="B103" s="370"/>
      <c r="C103" s="370"/>
      <c r="D103" s="371" t="s">
        <v>71</v>
      </c>
      <c r="E103" s="371"/>
      <c r="F103" s="371"/>
      <c r="G103" s="371"/>
      <c r="H103" s="371"/>
      <c r="I103" s="371"/>
      <c r="J103" s="371"/>
      <c r="K103" s="371"/>
      <c r="L103" s="371"/>
      <c r="M103" s="57"/>
      <c r="N103" s="12">
        <f>SUMIF($M$72:$M$99,D103,$N$72:$N$99)</f>
        <v>0</v>
      </c>
      <c r="O103" s="12">
        <f>SUMIF($M$72:$M$99,D103,$O$72:$O$99)</f>
        <v>0</v>
      </c>
      <c r="P103" s="12"/>
      <c r="Q103" s="12">
        <f>SUMIF($M$72:$M$99,D103,$Q$72:$Q$99)</f>
        <v>0</v>
      </c>
      <c r="R103" s="12">
        <f>SUMIF($M$72:$M$99,D103,$R$72:$R$99)</f>
        <v>0</v>
      </c>
      <c r="S103" s="12">
        <f>SUMIF($M$72:$M$99,D103,$S$72:$S$99)</f>
        <v>0</v>
      </c>
      <c r="T103" s="288"/>
      <c r="U103" s="8"/>
      <c r="V103" s="5"/>
    </row>
    <row r="104" spans="1:22" s="4" customFormat="1" ht="156.75" customHeight="1" outlineLevel="1" x14ac:dyDescent="0.25">
      <c r="A104" s="258">
        <v>65</v>
      </c>
      <c r="B104" s="240" t="s">
        <v>0</v>
      </c>
      <c r="C104" s="240" t="s">
        <v>1</v>
      </c>
      <c r="D104" s="240" t="s">
        <v>463</v>
      </c>
      <c r="E104" s="273"/>
      <c r="F104" s="273"/>
      <c r="G104" s="273"/>
      <c r="H104" s="273"/>
      <c r="I104" s="273"/>
      <c r="J104" s="273"/>
      <c r="K104" s="248" t="s">
        <v>357</v>
      </c>
      <c r="L104" s="248" t="s">
        <v>198</v>
      </c>
      <c r="M104" s="259" t="s">
        <v>2</v>
      </c>
      <c r="N104" s="68">
        <f>3047000000+3000000000</f>
        <v>6047000000</v>
      </c>
      <c r="O104" s="40">
        <v>6000000000</v>
      </c>
      <c r="P104" s="257"/>
      <c r="Q104" s="40">
        <f>4439902959+260956717.5+995441267.7+73262192.2+103703140+88648827.6+23704487.9+9999937.1</f>
        <v>5995619529</v>
      </c>
      <c r="R104" s="40"/>
      <c r="S104" s="255">
        <f t="shared" ref="S104:S109" si="6">O104-Q104</f>
        <v>4380471</v>
      </c>
      <c r="T104" s="290" t="s">
        <v>76</v>
      </c>
      <c r="U104" s="3"/>
      <c r="V104" s="5"/>
    </row>
    <row r="105" spans="1:22" s="4" customFormat="1" ht="147" customHeight="1" outlineLevel="1" x14ac:dyDescent="0.25">
      <c r="A105" s="258">
        <v>66</v>
      </c>
      <c r="B105" s="322" t="s">
        <v>0</v>
      </c>
      <c r="C105" s="322" t="s">
        <v>7</v>
      </c>
      <c r="D105" s="240" t="s">
        <v>463</v>
      </c>
      <c r="E105" s="273"/>
      <c r="F105" s="273"/>
      <c r="G105" s="273"/>
      <c r="H105" s="273"/>
      <c r="I105" s="273"/>
      <c r="J105" s="273"/>
      <c r="K105" s="248" t="s">
        <v>488</v>
      </c>
      <c r="L105" s="248" t="s">
        <v>9</v>
      </c>
      <c r="M105" s="259" t="s">
        <v>2</v>
      </c>
      <c r="N105" s="280">
        <v>2000000000</v>
      </c>
      <c r="O105" s="40">
        <v>2000000000</v>
      </c>
      <c r="P105" s="281">
        <v>2.7E-2</v>
      </c>
      <c r="Q105" s="40"/>
      <c r="R105" s="261">
        <f>68417269.8+13462993.2+49643.9+1421840.5+38566246.5+491534.9+1119195.4+178355+29883.2+10588.6+3022.3</f>
        <v>123750573.30000001</v>
      </c>
      <c r="S105" s="261">
        <f t="shared" si="6"/>
        <v>2000000000</v>
      </c>
      <c r="T105" s="290" t="s">
        <v>76</v>
      </c>
      <c r="U105" s="3"/>
      <c r="V105" s="5"/>
    </row>
    <row r="106" spans="1:22" s="4" customFormat="1" ht="144.75" customHeight="1" outlineLevel="1" x14ac:dyDescent="0.25">
      <c r="A106" s="258">
        <v>67</v>
      </c>
      <c r="B106" s="332"/>
      <c r="C106" s="332"/>
      <c r="D106" s="266" t="s">
        <v>463</v>
      </c>
      <c r="E106" s="266"/>
      <c r="F106" s="266"/>
      <c r="G106" s="266"/>
      <c r="H106" s="266"/>
      <c r="I106" s="266"/>
      <c r="J106" s="266"/>
      <c r="K106" s="248" t="s">
        <v>489</v>
      </c>
      <c r="L106" s="248" t="s">
        <v>11</v>
      </c>
      <c r="M106" s="245" t="s">
        <v>2</v>
      </c>
      <c r="N106" s="280">
        <v>2000000000</v>
      </c>
      <c r="O106" s="40">
        <v>2000000000</v>
      </c>
      <c r="P106" s="70">
        <v>5.7000000000000002E-2</v>
      </c>
      <c r="Q106" s="40"/>
      <c r="R106" s="40">
        <f>153819379.6+28421448.8+780809.1+528470.5+2614769.3+283790.1+5159868.8+1406739.9</f>
        <v>193015276.10000002</v>
      </c>
      <c r="S106" s="261">
        <f t="shared" si="6"/>
        <v>2000000000</v>
      </c>
      <c r="T106" s="290" t="s">
        <v>76</v>
      </c>
      <c r="U106" s="3"/>
      <c r="V106" s="5"/>
    </row>
    <row r="107" spans="1:22" s="4" customFormat="1" ht="168" customHeight="1" outlineLevel="1" x14ac:dyDescent="0.25">
      <c r="A107" s="258">
        <v>68</v>
      </c>
      <c r="B107" s="409"/>
      <c r="C107" s="409"/>
      <c r="D107" s="242"/>
      <c r="E107" s="282"/>
      <c r="F107" s="282"/>
      <c r="G107" s="282"/>
      <c r="H107" s="282"/>
      <c r="I107" s="282"/>
      <c r="J107" s="282"/>
      <c r="K107" s="264" t="s">
        <v>490</v>
      </c>
      <c r="L107" s="264" t="s">
        <v>199</v>
      </c>
      <c r="M107" s="245" t="s">
        <v>2</v>
      </c>
      <c r="N107" s="280">
        <v>5000000000</v>
      </c>
      <c r="O107" s="40">
        <v>5000000000</v>
      </c>
      <c r="P107" s="281">
        <v>2.7E-2</v>
      </c>
      <c r="Q107" s="40"/>
      <c r="R107" s="40">
        <f>34209157.5+76580313.4+83507353.3+1840160.7</f>
        <v>196136984.89999998</v>
      </c>
      <c r="S107" s="261">
        <f t="shared" si="6"/>
        <v>5000000000</v>
      </c>
      <c r="T107" s="289" t="s">
        <v>76</v>
      </c>
      <c r="U107" s="3"/>
      <c r="V107" s="5"/>
    </row>
    <row r="108" spans="1:22" s="4" customFormat="1" ht="175.5" outlineLevel="1" x14ac:dyDescent="0.25">
      <c r="A108" s="250">
        <v>69</v>
      </c>
      <c r="B108" s="241" t="s">
        <v>3</v>
      </c>
      <c r="C108" s="241" t="s">
        <v>5</v>
      </c>
      <c r="D108" s="241" t="s">
        <v>463</v>
      </c>
      <c r="E108" s="274"/>
      <c r="F108" s="274"/>
      <c r="G108" s="274"/>
      <c r="H108" s="274"/>
      <c r="I108" s="274"/>
      <c r="J108" s="274"/>
      <c r="K108" s="246" t="s">
        <v>358</v>
      </c>
      <c r="L108" s="246" t="s">
        <v>6</v>
      </c>
      <c r="M108" s="245" t="s">
        <v>2</v>
      </c>
      <c r="N108" s="256">
        <v>562500000</v>
      </c>
      <c r="O108" s="192">
        <v>562500000</v>
      </c>
      <c r="P108" s="70"/>
      <c r="Q108" s="192"/>
      <c r="R108" s="192"/>
      <c r="S108" s="271">
        <f t="shared" si="6"/>
        <v>562500000</v>
      </c>
      <c r="T108" s="291" t="s">
        <v>76</v>
      </c>
      <c r="U108" s="3"/>
      <c r="V108" s="5"/>
    </row>
    <row r="109" spans="1:22" s="4" customFormat="1" ht="108.75" outlineLevel="1" thickBot="1" x14ac:dyDescent="0.3">
      <c r="A109" s="71">
        <v>70</v>
      </c>
      <c r="B109" s="194" t="s">
        <v>3</v>
      </c>
      <c r="C109" s="194" t="s">
        <v>4</v>
      </c>
      <c r="D109" s="194" t="s">
        <v>463</v>
      </c>
      <c r="E109" s="283"/>
      <c r="F109" s="283"/>
      <c r="G109" s="283"/>
      <c r="H109" s="283"/>
      <c r="I109" s="283"/>
      <c r="J109" s="283"/>
      <c r="K109" s="74"/>
      <c r="L109" s="74" t="s">
        <v>369</v>
      </c>
      <c r="M109" s="194" t="s">
        <v>2</v>
      </c>
      <c r="N109" s="75">
        <f>2000000000+7300000000</f>
        <v>9300000000</v>
      </c>
      <c r="O109" s="76">
        <f>9024295000</f>
        <v>9024295000</v>
      </c>
      <c r="P109" s="77"/>
      <c r="Q109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</f>
        <v>8813419021.8000069</v>
      </c>
      <c r="R109" s="76">
        <f>34040214.6+16030636.8+1797857.1+7375602.5+3983531.1+11814600.3+22459610.6+9668538.8+11671711.4+6908264.6+1329981.6</f>
        <v>127080549.39999999</v>
      </c>
      <c r="S109" s="78">
        <f t="shared" si="6"/>
        <v>210875978.19999313</v>
      </c>
      <c r="T109" s="292" t="s">
        <v>76</v>
      </c>
      <c r="U109" s="3"/>
      <c r="V109" s="5"/>
    </row>
    <row r="110" spans="1:22" s="9" customFormat="1" ht="30" customHeight="1" x14ac:dyDescent="0.25">
      <c r="A110" s="375" t="s">
        <v>200</v>
      </c>
      <c r="B110" s="376"/>
      <c r="C110" s="376"/>
      <c r="D110" s="377" t="s">
        <v>29</v>
      </c>
      <c r="E110" s="378"/>
      <c r="F110" s="378"/>
      <c r="G110" s="378"/>
      <c r="H110" s="378"/>
      <c r="I110" s="378"/>
      <c r="J110" s="378"/>
      <c r="K110" s="378"/>
      <c r="L110" s="379"/>
      <c r="M110" s="49"/>
      <c r="N110" s="14">
        <f>SUMIF($M$104:$M$109,D110,$N$104:$N$109)</f>
        <v>0</v>
      </c>
      <c r="O110" s="14">
        <f>SUMIF($M$104:$M$109,D110,$O$104:$O$109)</f>
        <v>0</v>
      </c>
      <c r="P110" s="14"/>
      <c r="Q110" s="14">
        <f>SUMIF($M$104:$M$109,D110,$Q$104:$Q$109)</f>
        <v>0</v>
      </c>
      <c r="R110" s="14">
        <f>SUMIF($M$104:$M$109,D110,$R$104:$R$109)</f>
        <v>0</v>
      </c>
      <c r="S110" s="14">
        <f>SUMIF($M$104:$M$109,D110,$S$104:$S$109)</f>
        <v>0</v>
      </c>
      <c r="T110" s="293"/>
      <c r="U110" s="3"/>
      <c r="V110" s="5"/>
    </row>
    <row r="111" spans="1:22" s="9" customFormat="1" ht="27" customHeight="1" x14ac:dyDescent="0.25">
      <c r="A111" s="361"/>
      <c r="B111" s="362"/>
      <c r="C111" s="362"/>
      <c r="D111" s="380" t="s">
        <v>2</v>
      </c>
      <c r="E111" s="381"/>
      <c r="F111" s="381"/>
      <c r="G111" s="381"/>
      <c r="H111" s="381"/>
      <c r="I111" s="381"/>
      <c r="J111" s="381"/>
      <c r="K111" s="381"/>
      <c r="L111" s="382"/>
      <c r="M111" s="54"/>
      <c r="N111" s="14">
        <f>SUMIF($M$104:$M$109,D111,$N$104:$N$109)</f>
        <v>24909500000</v>
      </c>
      <c r="O111" s="11">
        <f>SUMIF($M$104:$M$109,D111,$O$104:$O$109)</f>
        <v>24586795000</v>
      </c>
      <c r="P111" s="11"/>
      <c r="Q111" s="11">
        <f>SUMIF($M$104:$M$109,D111,$Q$104:$Q$109)</f>
        <v>14809038550.800007</v>
      </c>
      <c r="R111" s="11">
        <f>SUMIF($M$104:$M$109,D111,$R$104:$R$109)</f>
        <v>639983383.70000005</v>
      </c>
      <c r="S111" s="11">
        <f>SUMIF($M$104:$M$109,D111,$S$104:$S$109)</f>
        <v>9777756449.1999931</v>
      </c>
      <c r="T111" s="286"/>
      <c r="U111" s="3"/>
      <c r="V111" s="5"/>
    </row>
    <row r="112" spans="1:22" s="9" customFormat="1" ht="28.5" customHeight="1" x14ac:dyDescent="0.25">
      <c r="A112" s="361"/>
      <c r="B112" s="362"/>
      <c r="C112" s="362"/>
      <c r="D112" s="380" t="s">
        <v>51</v>
      </c>
      <c r="E112" s="381"/>
      <c r="F112" s="381"/>
      <c r="G112" s="381"/>
      <c r="H112" s="381"/>
      <c r="I112" s="381"/>
      <c r="J112" s="381"/>
      <c r="K112" s="381"/>
      <c r="L112" s="382"/>
      <c r="M112" s="54"/>
      <c r="N112" s="14">
        <f>SUMIF($M$104:$M$109,D112,$N$104:$N$109)</f>
        <v>0</v>
      </c>
      <c r="O112" s="11">
        <f>SUMIF($M$104:$M$109,D112,$O$104:$O$109)</f>
        <v>0</v>
      </c>
      <c r="P112" s="11"/>
      <c r="Q112" s="11">
        <f>SUMIF($M$104:$M$109,D112,$Q$104:$Q$109)</f>
        <v>0</v>
      </c>
      <c r="R112" s="11">
        <f>SUMIF($M$104:$M$109,D112,$R$104:$R$109)</f>
        <v>0</v>
      </c>
      <c r="S112" s="11">
        <f>SUMIF($M$104:$M$109,D112,$S$104:$S$109)</f>
        <v>0</v>
      </c>
      <c r="T112" s="286"/>
      <c r="U112" s="8"/>
      <c r="V112" s="5"/>
    </row>
    <row r="113" spans="1:22" s="9" customFormat="1" ht="30" customHeight="1" thickBot="1" x14ac:dyDescent="0.3">
      <c r="A113" s="369"/>
      <c r="B113" s="370"/>
      <c r="C113" s="370"/>
      <c r="D113" s="366" t="s">
        <v>71</v>
      </c>
      <c r="E113" s="367"/>
      <c r="F113" s="367"/>
      <c r="G113" s="367"/>
      <c r="H113" s="367"/>
      <c r="I113" s="367"/>
      <c r="J113" s="367"/>
      <c r="K113" s="367"/>
      <c r="L113" s="368"/>
      <c r="M113" s="57"/>
      <c r="N113" s="12">
        <f>SUMIF($M$104:$M$109,D113,$N$104:$N$109)</f>
        <v>0</v>
      </c>
      <c r="O113" s="12">
        <f>SUMIF($M$104:$M$109,D113,$O$104:$O$109)</f>
        <v>0</v>
      </c>
      <c r="P113" s="12"/>
      <c r="Q113" s="12">
        <f>SUMIF($M$104:$M$109,D113,$Q$104:$Q$109)</f>
        <v>0</v>
      </c>
      <c r="R113" s="12">
        <f>SUMIF($M$104:$M$109,D113,$R$104:$R$109)</f>
        <v>0</v>
      </c>
      <c r="S113" s="12">
        <f>SUMIF($M$104:$M$109,D113,$S$104:$S$109)</f>
        <v>0</v>
      </c>
      <c r="T113" s="288"/>
      <c r="U113" s="8"/>
      <c r="V113" s="5"/>
    </row>
    <row r="114" spans="1:22" s="4" customFormat="1" ht="121.5" outlineLevel="1" x14ac:dyDescent="0.25">
      <c r="A114" s="250">
        <v>71</v>
      </c>
      <c r="B114" s="243" t="s">
        <v>201</v>
      </c>
      <c r="C114" s="243" t="s">
        <v>202</v>
      </c>
      <c r="D114" s="240" t="s">
        <v>463</v>
      </c>
      <c r="E114" s="273"/>
      <c r="F114" s="273"/>
      <c r="G114" s="273"/>
      <c r="H114" s="273"/>
      <c r="I114" s="273"/>
      <c r="J114" s="273"/>
      <c r="K114" s="248" t="s">
        <v>359</v>
      </c>
      <c r="L114" s="248" t="s">
        <v>203</v>
      </c>
      <c r="M114" s="259" t="s">
        <v>2</v>
      </c>
      <c r="N114" s="79">
        <v>574491741</v>
      </c>
      <c r="O114" s="79">
        <v>574491741</v>
      </c>
      <c r="P114" s="268">
        <v>1E-4</v>
      </c>
      <c r="Q114" s="79">
        <f>132575017.2</f>
        <v>132575017.2</v>
      </c>
      <c r="R114" s="79">
        <f>85623+14165+39966.7</f>
        <v>139754.70000000001</v>
      </c>
      <c r="S114" s="271">
        <f t="shared" ref="S114:S126" si="7">O114-Q114</f>
        <v>441916723.80000001</v>
      </c>
      <c r="T114" s="291" t="s">
        <v>204</v>
      </c>
      <c r="U114" s="3"/>
      <c r="V114" s="5"/>
    </row>
    <row r="115" spans="1:22" s="4" customFormat="1" ht="121.5" outlineLevel="1" x14ac:dyDescent="0.25">
      <c r="A115" s="258">
        <v>72</v>
      </c>
      <c r="B115" s="251" t="s">
        <v>205</v>
      </c>
      <c r="C115" s="251" t="s">
        <v>202</v>
      </c>
      <c r="D115" s="240" t="s">
        <v>463</v>
      </c>
      <c r="E115" s="273"/>
      <c r="F115" s="273"/>
      <c r="G115" s="273"/>
      <c r="H115" s="273"/>
      <c r="I115" s="273"/>
      <c r="J115" s="273"/>
      <c r="K115" s="248" t="s">
        <v>360</v>
      </c>
      <c r="L115" s="248" t="s">
        <v>206</v>
      </c>
      <c r="M115" s="259" t="s">
        <v>2</v>
      </c>
      <c r="N115" s="68">
        <v>98612371</v>
      </c>
      <c r="O115" s="60">
        <v>98612371</v>
      </c>
      <c r="P115" s="252">
        <v>1E-4</v>
      </c>
      <c r="Q115" s="60"/>
      <c r="R115" s="60">
        <v>17060</v>
      </c>
      <c r="S115" s="270">
        <f t="shared" si="7"/>
        <v>98612371</v>
      </c>
      <c r="T115" s="290" t="s">
        <v>207</v>
      </c>
      <c r="U115" s="3"/>
      <c r="V115" s="5"/>
    </row>
    <row r="116" spans="1:22" s="4" customFormat="1" ht="121.5" outlineLevel="1" x14ac:dyDescent="0.25">
      <c r="A116" s="258">
        <v>73</v>
      </c>
      <c r="B116" s="251" t="s">
        <v>208</v>
      </c>
      <c r="C116" s="251" t="s">
        <v>202</v>
      </c>
      <c r="D116" s="240" t="s">
        <v>463</v>
      </c>
      <c r="E116" s="273"/>
      <c r="F116" s="273"/>
      <c r="G116" s="273"/>
      <c r="H116" s="273"/>
      <c r="I116" s="273"/>
      <c r="J116" s="273"/>
      <c r="K116" s="248" t="s">
        <v>361</v>
      </c>
      <c r="L116" s="248" t="s">
        <v>209</v>
      </c>
      <c r="M116" s="259" t="s">
        <v>2</v>
      </c>
      <c r="N116" s="68">
        <v>60132468</v>
      </c>
      <c r="O116" s="60">
        <v>60132468</v>
      </c>
      <c r="P116" s="252">
        <v>1E-4</v>
      </c>
      <c r="Q116" s="60">
        <f>4625574.5+4625574.5+4625574.5+4625574.5+4625575+4625575+4625575+4625575</f>
        <v>37004598</v>
      </c>
      <c r="R116" s="60">
        <f>10367+1511.2+1400+1500+1500+1000+20000+1000</f>
        <v>38278.199999999997</v>
      </c>
      <c r="S116" s="270">
        <f t="shared" si="7"/>
        <v>23127870</v>
      </c>
      <c r="T116" s="290" t="s">
        <v>210</v>
      </c>
      <c r="U116" s="15"/>
      <c r="V116" s="5"/>
    </row>
    <row r="117" spans="1:22" s="4" customFormat="1" ht="121.5" outlineLevel="1" x14ac:dyDescent="0.25">
      <c r="A117" s="258">
        <v>74</v>
      </c>
      <c r="B117" s="251" t="s">
        <v>211</v>
      </c>
      <c r="C117" s="251" t="s">
        <v>202</v>
      </c>
      <c r="D117" s="240" t="s">
        <v>463</v>
      </c>
      <c r="E117" s="273"/>
      <c r="F117" s="273"/>
      <c r="G117" s="273"/>
      <c r="H117" s="273"/>
      <c r="I117" s="273"/>
      <c r="J117" s="273"/>
      <c r="K117" s="248" t="s">
        <v>362</v>
      </c>
      <c r="L117" s="248" t="s">
        <v>212</v>
      </c>
      <c r="M117" s="259" t="s">
        <v>2</v>
      </c>
      <c r="N117" s="280">
        <f>9500000+12453199</f>
        <v>21953199</v>
      </c>
      <c r="O117" s="60">
        <f>9500000+12453199</f>
        <v>21953199</v>
      </c>
      <c r="P117" s="252">
        <v>1E-4</v>
      </c>
      <c r="Q117" s="60"/>
      <c r="R117" s="60">
        <v>3720</v>
      </c>
      <c r="S117" s="270">
        <f t="shared" si="7"/>
        <v>21953199</v>
      </c>
      <c r="T117" s="290" t="s">
        <v>213</v>
      </c>
      <c r="U117" s="15"/>
      <c r="V117" s="5"/>
    </row>
    <row r="118" spans="1:22" s="4" customFormat="1" ht="129.75" customHeight="1" outlineLevel="1" x14ac:dyDescent="0.25">
      <c r="A118" s="258">
        <v>75</v>
      </c>
      <c r="B118" s="251" t="s">
        <v>214</v>
      </c>
      <c r="C118" s="251" t="s">
        <v>202</v>
      </c>
      <c r="D118" s="240" t="s">
        <v>463</v>
      </c>
      <c r="E118" s="273"/>
      <c r="F118" s="273"/>
      <c r="G118" s="273"/>
      <c r="H118" s="273"/>
      <c r="I118" s="273"/>
      <c r="J118" s="273"/>
      <c r="K118" s="248" t="s">
        <v>362</v>
      </c>
      <c r="L118" s="248" t="s">
        <v>215</v>
      </c>
      <c r="M118" s="259" t="s">
        <v>2</v>
      </c>
      <c r="N118" s="68">
        <v>15801400</v>
      </c>
      <c r="O118" s="60">
        <v>15801400</v>
      </c>
      <c r="P118" s="252">
        <v>1E-4</v>
      </c>
      <c r="Q118" s="60"/>
      <c r="R118" s="60">
        <v>3500</v>
      </c>
      <c r="S118" s="270">
        <f t="shared" si="7"/>
        <v>15801400</v>
      </c>
      <c r="T118" s="290" t="s">
        <v>216</v>
      </c>
      <c r="U118" s="15"/>
      <c r="V118" s="5"/>
    </row>
    <row r="119" spans="1:22" s="4" customFormat="1" ht="129.75" customHeight="1" outlineLevel="1" x14ac:dyDescent="0.25">
      <c r="A119" s="258">
        <v>76</v>
      </c>
      <c r="B119" s="251" t="s">
        <v>217</v>
      </c>
      <c r="C119" s="251" t="s">
        <v>202</v>
      </c>
      <c r="D119" s="240" t="s">
        <v>463</v>
      </c>
      <c r="E119" s="273"/>
      <c r="F119" s="273"/>
      <c r="G119" s="273"/>
      <c r="H119" s="273"/>
      <c r="I119" s="273"/>
      <c r="J119" s="273"/>
      <c r="K119" s="248" t="s">
        <v>362</v>
      </c>
      <c r="L119" s="248" t="s">
        <v>215</v>
      </c>
      <c r="M119" s="259" t="s">
        <v>2</v>
      </c>
      <c r="N119" s="68">
        <v>2554000</v>
      </c>
      <c r="O119" s="60">
        <v>2554000</v>
      </c>
      <c r="P119" s="252">
        <v>1E-4</v>
      </c>
      <c r="Q119" s="60"/>
      <c r="R119" s="60">
        <f>500</f>
        <v>500</v>
      </c>
      <c r="S119" s="270">
        <f t="shared" si="7"/>
        <v>2554000</v>
      </c>
      <c r="T119" s="290" t="s">
        <v>218</v>
      </c>
      <c r="U119" s="15"/>
      <c r="V119" s="5"/>
    </row>
    <row r="120" spans="1:22" s="4" customFormat="1" ht="129.75" customHeight="1" outlineLevel="1" x14ac:dyDescent="0.25">
      <c r="A120" s="258">
        <v>77</v>
      </c>
      <c r="B120" s="251" t="s">
        <v>219</v>
      </c>
      <c r="C120" s="251" t="s">
        <v>202</v>
      </c>
      <c r="D120" s="240" t="s">
        <v>463</v>
      </c>
      <c r="E120" s="273"/>
      <c r="F120" s="273"/>
      <c r="G120" s="273"/>
      <c r="H120" s="273"/>
      <c r="I120" s="273"/>
      <c r="J120" s="273"/>
      <c r="K120" s="248" t="s">
        <v>362</v>
      </c>
      <c r="L120" s="248" t="s">
        <v>220</v>
      </c>
      <c r="M120" s="259" t="s">
        <v>2</v>
      </c>
      <c r="N120" s="68">
        <v>29053320</v>
      </c>
      <c r="O120" s="60">
        <v>29053320</v>
      </c>
      <c r="P120" s="252">
        <v>1E-4</v>
      </c>
      <c r="Q120" s="60"/>
      <c r="R120" s="60">
        <f>2000+3000</f>
        <v>5000</v>
      </c>
      <c r="S120" s="270">
        <f t="shared" si="7"/>
        <v>29053320</v>
      </c>
      <c r="T120" s="290" t="s">
        <v>221</v>
      </c>
      <c r="U120" s="15"/>
      <c r="V120" s="5"/>
    </row>
    <row r="121" spans="1:22" s="4" customFormat="1" ht="129.75" customHeight="1" outlineLevel="1" x14ac:dyDescent="0.25">
      <c r="A121" s="258">
        <v>78</v>
      </c>
      <c r="B121" s="251" t="s">
        <v>222</v>
      </c>
      <c r="C121" s="251" t="s">
        <v>202</v>
      </c>
      <c r="D121" s="240" t="s">
        <v>463</v>
      </c>
      <c r="E121" s="273"/>
      <c r="F121" s="273"/>
      <c r="G121" s="273"/>
      <c r="H121" s="273"/>
      <c r="I121" s="273"/>
      <c r="J121" s="273"/>
      <c r="K121" s="248" t="s">
        <v>362</v>
      </c>
      <c r="L121" s="248" t="s">
        <v>223</v>
      </c>
      <c r="M121" s="259" t="s">
        <v>2</v>
      </c>
      <c r="N121" s="68">
        <v>192064443</v>
      </c>
      <c r="O121" s="60">
        <f>95000000+97064443</f>
        <v>192064443</v>
      </c>
      <c r="P121" s="252">
        <v>1E-4</v>
      </c>
      <c r="Q121" s="60">
        <f>65000000+20000000</f>
        <v>85000000</v>
      </c>
      <c r="R121" s="60">
        <f>16100+12200+23933</f>
        <v>52233</v>
      </c>
      <c r="S121" s="270">
        <f t="shared" si="7"/>
        <v>107064443</v>
      </c>
      <c r="T121" s="290" t="s">
        <v>224</v>
      </c>
      <c r="U121" s="15"/>
      <c r="V121" s="5"/>
    </row>
    <row r="122" spans="1:22" s="4" customFormat="1" ht="129.75" customHeight="1" outlineLevel="1" x14ac:dyDescent="0.25">
      <c r="A122" s="258">
        <v>79</v>
      </c>
      <c r="B122" s="251" t="s">
        <v>226</v>
      </c>
      <c r="C122" s="251" t="s">
        <v>202</v>
      </c>
      <c r="D122" s="240" t="s">
        <v>463</v>
      </c>
      <c r="E122" s="273"/>
      <c r="F122" s="273"/>
      <c r="G122" s="273"/>
      <c r="H122" s="273"/>
      <c r="I122" s="273"/>
      <c r="J122" s="273"/>
      <c r="K122" s="248" t="s">
        <v>362</v>
      </c>
      <c r="L122" s="248" t="s">
        <v>225</v>
      </c>
      <c r="M122" s="259" t="s">
        <v>2</v>
      </c>
      <c r="N122" s="68">
        <v>3469534</v>
      </c>
      <c r="O122" s="60">
        <v>3469534</v>
      </c>
      <c r="P122" s="252">
        <v>1E-4</v>
      </c>
      <c r="Q122" s="60">
        <v>266887</v>
      </c>
      <c r="R122" s="60">
        <f>600+86</f>
        <v>686</v>
      </c>
      <c r="S122" s="270">
        <f t="shared" si="7"/>
        <v>3202647</v>
      </c>
      <c r="T122" s="290" t="s">
        <v>227</v>
      </c>
      <c r="U122" s="15"/>
      <c r="V122" s="5"/>
    </row>
    <row r="123" spans="1:22" s="4" customFormat="1" ht="129.75" customHeight="1" outlineLevel="1" x14ac:dyDescent="0.25">
      <c r="A123" s="258">
        <v>80</v>
      </c>
      <c r="B123" s="251" t="s">
        <v>228</v>
      </c>
      <c r="C123" s="251" t="s">
        <v>202</v>
      </c>
      <c r="D123" s="240" t="s">
        <v>463</v>
      </c>
      <c r="E123" s="273"/>
      <c r="F123" s="273"/>
      <c r="G123" s="273"/>
      <c r="H123" s="273"/>
      <c r="I123" s="273"/>
      <c r="J123" s="273"/>
      <c r="K123" s="248" t="s">
        <v>362</v>
      </c>
      <c r="L123" s="248" t="s">
        <v>229</v>
      </c>
      <c r="M123" s="259" t="s">
        <v>2</v>
      </c>
      <c r="N123" s="68">
        <v>11781702</v>
      </c>
      <c r="O123" s="60">
        <v>11781702</v>
      </c>
      <c r="P123" s="252">
        <v>1E-4</v>
      </c>
      <c r="Q123" s="60">
        <f>906285+906285+906285+906285+906285+906285+906285+906285</f>
        <v>7250280</v>
      </c>
      <c r="R123" s="60">
        <f>3000+1500+1500</f>
        <v>6000</v>
      </c>
      <c r="S123" s="270">
        <f t="shared" si="7"/>
        <v>4531422</v>
      </c>
      <c r="T123" s="290" t="s">
        <v>230</v>
      </c>
      <c r="U123" s="15"/>
      <c r="V123" s="5"/>
    </row>
    <row r="124" spans="1:22" s="4" customFormat="1" ht="129.75" customHeight="1" outlineLevel="1" x14ac:dyDescent="0.25">
      <c r="A124" s="258">
        <v>81</v>
      </c>
      <c r="B124" s="251" t="s">
        <v>231</v>
      </c>
      <c r="C124" s="251" t="s">
        <v>202</v>
      </c>
      <c r="D124" s="240" t="s">
        <v>463</v>
      </c>
      <c r="E124" s="273"/>
      <c r="F124" s="273"/>
      <c r="G124" s="273"/>
      <c r="H124" s="273"/>
      <c r="I124" s="273"/>
      <c r="J124" s="273"/>
      <c r="K124" s="248" t="s">
        <v>362</v>
      </c>
      <c r="L124" s="248" t="s">
        <v>232</v>
      </c>
      <c r="M124" s="259" t="s">
        <v>2</v>
      </c>
      <c r="N124" s="68">
        <f>112000000+16200000</f>
        <v>128200000</v>
      </c>
      <c r="O124" s="60">
        <f>112000000+16200000</f>
        <v>128200000</v>
      </c>
      <c r="P124" s="252">
        <v>1E-4</v>
      </c>
      <c r="Q124" s="60">
        <f>3000000+3000000+4000000</f>
        <v>10000000</v>
      </c>
      <c r="R124" s="60">
        <f>25640+12820</f>
        <v>38460</v>
      </c>
      <c r="S124" s="270">
        <f t="shared" si="7"/>
        <v>118200000</v>
      </c>
      <c r="T124" s="290" t="s">
        <v>233</v>
      </c>
      <c r="U124" s="15"/>
      <c r="V124" s="5"/>
    </row>
    <row r="125" spans="1:22" s="4" customFormat="1" ht="129.75" customHeight="1" outlineLevel="1" x14ac:dyDescent="0.25">
      <c r="A125" s="258">
        <v>82</v>
      </c>
      <c r="B125" s="251" t="s">
        <v>234</v>
      </c>
      <c r="C125" s="251" t="s">
        <v>202</v>
      </c>
      <c r="D125" s="240" t="s">
        <v>463</v>
      </c>
      <c r="E125" s="273"/>
      <c r="F125" s="273"/>
      <c r="G125" s="273"/>
      <c r="H125" s="273"/>
      <c r="I125" s="273"/>
      <c r="J125" s="273"/>
      <c r="K125" s="248" t="s">
        <v>362</v>
      </c>
      <c r="L125" s="248" t="s">
        <v>235</v>
      </c>
      <c r="M125" s="259" t="s">
        <v>2</v>
      </c>
      <c r="N125" s="68">
        <v>26127500</v>
      </c>
      <c r="O125" s="60">
        <v>26127500</v>
      </c>
      <c r="P125" s="252">
        <v>1E-4</v>
      </c>
      <c r="Q125" s="60"/>
      <c r="R125" s="60">
        <f>4530</f>
        <v>4530</v>
      </c>
      <c r="S125" s="270">
        <f t="shared" si="7"/>
        <v>26127500</v>
      </c>
      <c r="T125" s="290" t="s">
        <v>236</v>
      </c>
      <c r="U125" s="15"/>
      <c r="V125" s="5"/>
    </row>
    <row r="126" spans="1:22" s="4" customFormat="1" ht="129.75" customHeight="1" outlineLevel="1" x14ac:dyDescent="0.25">
      <c r="A126" s="258">
        <v>83</v>
      </c>
      <c r="B126" s="251" t="s">
        <v>237</v>
      </c>
      <c r="C126" s="251" t="s">
        <v>202</v>
      </c>
      <c r="D126" s="240" t="s">
        <v>463</v>
      </c>
      <c r="E126" s="273"/>
      <c r="F126" s="273"/>
      <c r="G126" s="273"/>
      <c r="H126" s="273"/>
      <c r="I126" s="273"/>
      <c r="J126" s="273"/>
      <c r="K126" s="248" t="s">
        <v>362</v>
      </c>
      <c r="L126" s="248" t="s">
        <v>238</v>
      </c>
      <c r="M126" s="259" t="s">
        <v>2</v>
      </c>
      <c r="N126" s="68">
        <v>19297200</v>
      </c>
      <c r="O126" s="60">
        <f>10800000+3440000+1440000+3617200</f>
        <v>19297200</v>
      </c>
      <c r="P126" s="252">
        <v>1E-4</v>
      </c>
      <c r="Q126" s="60"/>
      <c r="R126" s="60">
        <f>3000</f>
        <v>3000</v>
      </c>
      <c r="S126" s="270">
        <f t="shared" si="7"/>
        <v>19297200</v>
      </c>
      <c r="T126" s="290" t="s">
        <v>239</v>
      </c>
      <c r="U126" s="15"/>
      <c r="V126" s="5"/>
    </row>
    <row r="127" spans="1:22" s="4" customFormat="1" ht="129.75" customHeight="1" outlineLevel="1" x14ac:dyDescent="0.25">
      <c r="A127" s="258">
        <v>84</v>
      </c>
      <c r="B127" s="251" t="s">
        <v>240</v>
      </c>
      <c r="C127" s="251" t="s">
        <v>202</v>
      </c>
      <c r="D127" s="240" t="s">
        <v>463</v>
      </c>
      <c r="E127" s="273"/>
      <c r="F127" s="273"/>
      <c r="G127" s="273"/>
      <c r="H127" s="273"/>
      <c r="I127" s="273"/>
      <c r="J127" s="273"/>
      <c r="K127" s="248" t="s">
        <v>362</v>
      </c>
      <c r="L127" s="248" t="s">
        <v>225</v>
      </c>
      <c r="M127" s="259" t="s">
        <v>2</v>
      </c>
      <c r="N127" s="68">
        <v>2164000</v>
      </c>
      <c r="O127" s="60">
        <v>2164000</v>
      </c>
      <c r="P127" s="252">
        <v>1E-4</v>
      </c>
      <c r="Q127" s="60">
        <f>166462+166462+165000+167000+166500+166500+67000</f>
        <v>1064924</v>
      </c>
      <c r="R127" s="60">
        <f>370+54.8+100+100+500</f>
        <v>1124.8</v>
      </c>
      <c r="S127" s="270">
        <f>O127-R127</f>
        <v>2162875.2000000002</v>
      </c>
      <c r="T127" s="290" t="s">
        <v>241</v>
      </c>
      <c r="U127" s="15"/>
      <c r="V127" s="5"/>
    </row>
    <row r="128" spans="1:22" s="4" customFormat="1" ht="129.75" customHeight="1" outlineLevel="1" x14ac:dyDescent="0.25">
      <c r="A128" s="258">
        <v>85</v>
      </c>
      <c r="B128" s="251" t="s">
        <v>242</v>
      </c>
      <c r="C128" s="251" t="s">
        <v>202</v>
      </c>
      <c r="D128" s="240" t="s">
        <v>463</v>
      </c>
      <c r="E128" s="251"/>
      <c r="F128" s="251"/>
      <c r="G128" s="251"/>
      <c r="H128" s="251"/>
      <c r="I128" s="251"/>
      <c r="J128" s="251"/>
      <c r="K128" s="248" t="s">
        <v>362</v>
      </c>
      <c r="L128" s="248" t="s">
        <v>243</v>
      </c>
      <c r="M128" s="259" t="s">
        <v>2</v>
      </c>
      <c r="N128" s="68">
        <v>253504102</v>
      </c>
      <c r="O128" s="60">
        <v>253504102</v>
      </c>
      <c r="P128" s="252">
        <v>1E-4</v>
      </c>
      <c r="Q128" s="60">
        <f>19500316+19500316+19500315+19500315+19500315+19500315+19500316</f>
        <v>136502208</v>
      </c>
      <c r="R128" s="60">
        <f>5973+6390+6181+6389+6181.4+6390+6390+6390+6389+5407+7015+5059.2+9482.9</f>
        <v>83637.499999999985</v>
      </c>
      <c r="S128" s="270">
        <f t="shared" ref="S128:S134" si="8">O128-Q128</f>
        <v>117001894</v>
      </c>
      <c r="T128" s="290" t="s">
        <v>244</v>
      </c>
      <c r="U128" s="15"/>
      <c r="V128" s="5"/>
    </row>
    <row r="129" spans="1:22" s="4" customFormat="1" ht="129.75" customHeight="1" outlineLevel="1" x14ac:dyDescent="0.25">
      <c r="A129" s="258">
        <v>86</v>
      </c>
      <c r="B129" s="251" t="s">
        <v>245</v>
      </c>
      <c r="C129" s="251" t="s">
        <v>202</v>
      </c>
      <c r="D129" s="240" t="s">
        <v>463</v>
      </c>
      <c r="E129" s="273"/>
      <c r="F129" s="273"/>
      <c r="G129" s="273"/>
      <c r="H129" s="273"/>
      <c r="I129" s="273"/>
      <c r="J129" s="273"/>
      <c r="K129" s="248" t="s">
        <v>362</v>
      </c>
      <c r="L129" s="248" t="s">
        <v>243</v>
      </c>
      <c r="M129" s="259" t="s">
        <v>2</v>
      </c>
      <c r="N129" s="68">
        <v>76200000</v>
      </c>
      <c r="O129" s="60">
        <v>76200000</v>
      </c>
      <c r="P129" s="252">
        <v>1E-4</v>
      </c>
      <c r="Q129" s="60"/>
      <c r="R129" s="60">
        <f>7620+5520</f>
        <v>13140</v>
      </c>
      <c r="S129" s="270">
        <f t="shared" si="8"/>
        <v>76200000</v>
      </c>
      <c r="T129" s="290" t="s">
        <v>246</v>
      </c>
      <c r="U129" s="15"/>
      <c r="V129" s="5"/>
    </row>
    <row r="130" spans="1:22" s="4" customFormat="1" ht="121.5" outlineLevel="1" x14ac:dyDescent="0.25">
      <c r="A130" s="258">
        <v>87</v>
      </c>
      <c r="B130" s="251" t="s">
        <v>247</v>
      </c>
      <c r="C130" s="251" t="s">
        <v>202</v>
      </c>
      <c r="D130" s="240" t="s">
        <v>463</v>
      </c>
      <c r="E130" s="273"/>
      <c r="F130" s="273"/>
      <c r="G130" s="273"/>
      <c r="H130" s="273"/>
      <c r="I130" s="273"/>
      <c r="J130" s="273"/>
      <c r="K130" s="248" t="s">
        <v>362</v>
      </c>
      <c r="L130" s="248" t="s">
        <v>248</v>
      </c>
      <c r="M130" s="259" t="s">
        <v>2</v>
      </c>
      <c r="N130" s="68">
        <v>50613970</v>
      </c>
      <c r="O130" s="60">
        <v>50613970</v>
      </c>
      <c r="P130" s="252">
        <v>1E-4</v>
      </c>
      <c r="Q130" s="60"/>
      <c r="R130" s="60">
        <f>8800+8800</f>
        <v>17600</v>
      </c>
      <c r="S130" s="270">
        <f t="shared" si="8"/>
        <v>50613970</v>
      </c>
      <c r="T130" s="290" t="s">
        <v>249</v>
      </c>
      <c r="U130" s="15"/>
      <c r="V130" s="5"/>
    </row>
    <row r="131" spans="1:22" s="4" customFormat="1" ht="121.5" outlineLevel="1" x14ac:dyDescent="0.25">
      <c r="A131" s="258">
        <v>88</v>
      </c>
      <c r="B131" s="251" t="s">
        <v>250</v>
      </c>
      <c r="C131" s="251" t="s">
        <v>202</v>
      </c>
      <c r="D131" s="240" t="s">
        <v>463</v>
      </c>
      <c r="E131" s="273"/>
      <c r="F131" s="273"/>
      <c r="G131" s="273"/>
      <c r="H131" s="273"/>
      <c r="I131" s="273"/>
      <c r="J131" s="273"/>
      <c r="K131" s="248" t="s">
        <v>362</v>
      </c>
      <c r="L131" s="248" t="s">
        <v>251</v>
      </c>
      <c r="M131" s="259" t="s">
        <v>2</v>
      </c>
      <c r="N131" s="68">
        <v>184740000</v>
      </c>
      <c r="O131" s="60">
        <v>184740000</v>
      </c>
      <c r="P131" s="252">
        <v>1E-4</v>
      </c>
      <c r="Q131" s="60"/>
      <c r="R131" s="60">
        <f>31700</f>
        <v>31700</v>
      </c>
      <c r="S131" s="270">
        <f t="shared" si="8"/>
        <v>184740000</v>
      </c>
      <c r="T131" s="290" t="s">
        <v>252</v>
      </c>
      <c r="U131" s="15"/>
      <c r="V131" s="5"/>
    </row>
    <row r="132" spans="1:22" s="4" customFormat="1" ht="121.5" outlineLevel="1" x14ac:dyDescent="0.25">
      <c r="A132" s="258">
        <v>89</v>
      </c>
      <c r="B132" s="251" t="s">
        <v>253</v>
      </c>
      <c r="C132" s="251" t="s">
        <v>202</v>
      </c>
      <c r="D132" s="240" t="s">
        <v>463</v>
      </c>
      <c r="E132" s="273"/>
      <c r="F132" s="273"/>
      <c r="G132" s="273"/>
      <c r="H132" s="273"/>
      <c r="I132" s="273"/>
      <c r="J132" s="273"/>
      <c r="K132" s="248" t="s">
        <v>362</v>
      </c>
      <c r="L132" s="248" t="s">
        <v>254</v>
      </c>
      <c r="M132" s="259" t="s">
        <v>2</v>
      </c>
      <c r="N132" s="68">
        <v>219559596</v>
      </c>
      <c r="O132" s="60">
        <v>219559596</v>
      </c>
      <c r="P132" s="252">
        <v>1E-4</v>
      </c>
      <c r="Q132" s="60">
        <f>16889200+16889200+185781196</f>
        <v>219559596</v>
      </c>
      <c r="R132" s="60">
        <f>5294+5294+27550+5533+1000</f>
        <v>44671</v>
      </c>
      <c r="S132" s="270">
        <f t="shared" si="8"/>
        <v>0</v>
      </c>
      <c r="T132" s="290" t="s">
        <v>438</v>
      </c>
      <c r="U132" s="15"/>
      <c r="V132" s="5"/>
    </row>
    <row r="133" spans="1:22" s="4" customFormat="1" ht="121.5" outlineLevel="1" x14ac:dyDescent="0.25">
      <c r="A133" s="258">
        <v>90</v>
      </c>
      <c r="B133" s="251" t="s">
        <v>255</v>
      </c>
      <c r="C133" s="251" t="s">
        <v>202</v>
      </c>
      <c r="D133" s="240" t="s">
        <v>463</v>
      </c>
      <c r="E133" s="273"/>
      <c r="F133" s="273"/>
      <c r="G133" s="273"/>
      <c r="H133" s="273"/>
      <c r="I133" s="273"/>
      <c r="J133" s="273"/>
      <c r="K133" s="248" t="s">
        <v>362</v>
      </c>
      <c r="L133" s="248" t="s">
        <v>251</v>
      </c>
      <c r="M133" s="259" t="s">
        <v>2</v>
      </c>
      <c r="N133" s="68">
        <v>29081500</v>
      </c>
      <c r="O133" s="60">
        <v>29081500</v>
      </c>
      <c r="P133" s="252">
        <v>1E-4</v>
      </c>
      <c r="Q133" s="60"/>
      <c r="R133" s="60">
        <f>1000+4000+3000+1000</f>
        <v>9000</v>
      </c>
      <c r="S133" s="270">
        <f t="shared" si="8"/>
        <v>29081500</v>
      </c>
      <c r="T133" s="290" t="s">
        <v>256</v>
      </c>
      <c r="U133" s="15"/>
      <c r="V133" s="5"/>
    </row>
    <row r="134" spans="1:22" s="4" customFormat="1" ht="123" customHeight="1" outlineLevel="1" thickBot="1" x14ac:dyDescent="0.3">
      <c r="A134" s="71">
        <v>91</v>
      </c>
      <c r="B134" s="208" t="s">
        <v>257</v>
      </c>
      <c r="C134" s="208" t="s">
        <v>202</v>
      </c>
      <c r="D134" s="194" t="s">
        <v>463</v>
      </c>
      <c r="E134" s="283"/>
      <c r="F134" s="283"/>
      <c r="G134" s="283"/>
      <c r="H134" s="283"/>
      <c r="I134" s="283"/>
      <c r="J134" s="283"/>
      <c r="K134" s="74" t="s">
        <v>362</v>
      </c>
      <c r="L134" s="74" t="s">
        <v>258</v>
      </c>
      <c r="M134" s="194" t="s">
        <v>2</v>
      </c>
      <c r="N134" s="284">
        <v>12060940</v>
      </c>
      <c r="O134" s="79">
        <v>12060940</v>
      </c>
      <c r="P134" s="252">
        <v>1E-4</v>
      </c>
      <c r="Q134" s="60"/>
      <c r="R134" s="60">
        <v>2170</v>
      </c>
      <c r="S134" s="270">
        <f t="shared" si="8"/>
        <v>12060940</v>
      </c>
      <c r="T134" s="290" t="s">
        <v>259</v>
      </c>
      <c r="U134" s="15"/>
      <c r="V134" s="5"/>
    </row>
    <row r="135" spans="1:22" s="9" customFormat="1" ht="30" customHeight="1" x14ac:dyDescent="0.25">
      <c r="A135" s="375" t="s">
        <v>437</v>
      </c>
      <c r="B135" s="376"/>
      <c r="C135" s="376"/>
      <c r="D135" s="377" t="s">
        <v>29</v>
      </c>
      <c r="E135" s="378"/>
      <c r="F135" s="378"/>
      <c r="G135" s="378"/>
      <c r="H135" s="378"/>
      <c r="I135" s="378"/>
      <c r="J135" s="378"/>
      <c r="K135" s="378"/>
      <c r="L135" s="379"/>
      <c r="M135" s="49"/>
      <c r="N135" s="56">
        <f>SUMIF($M$114:$M$134,D135,$N$114:$N$134)</f>
        <v>0</v>
      </c>
      <c r="O135" s="13">
        <f>SUMIF($M$104:$M$134,D135,$O$104:$O$134)</f>
        <v>0</v>
      </c>
      <c r="P135" s="13"/>
      <c r="Q135" s="11">
        <f>SUMIF($M$114:$M$134,D135,$Q$114:$Q$134)</f>
        <v>0</v>
      </c>
      <c r="R135" s="13">
        <f>SUMIF($M$104:$M$134,D135,$R$104:$R$134)</f>
        <v>0</v>
      </c>
      <c r="S135" s="13">
        <f>SUMIF($M$104:$M$134,D135,$S$104:$S$134)</f>
        <v>0</v>
      </c>
      <c r="T135" s="285"/>
      <c r="U135" s="8"/>
      <c r="V135" s="5"/>
    </row>
    <row r="136" spans="1:22" s="9" customFormat="1" ht="27" customHeight="1" x14ac:dyDescent="0.25">
      <c r="A136" s="361"/>
      <c r="B136" s="362"/>
      <c r="C136" s="362"/>
      <c r="D136" s="380" t="s">
        <v>2</v>
      </c>
      <c r="E136" s="381"/>
      <c r="F136" s="381"/>
      <c r="G136" s="381"/>
      <c r="H136" s="381"/>
      <c r="I136" s="381"/>
      <c r="J136" s="381"/>
      <c r="K136" s="381"/>
      <c r="L136" s="382"/>
      <c r="M136" s="54"/>
      <c r="N136" s="11">
        <f>SUMIF($M$114:$M$134,D136,$N$114:$N$134)</f>
        <v>2011462986</v>
      </c>
      <c r="O136" s="11">
        <f>SUMIF($M$114:$M$134,D136,$O$114:$O$134)</f>
        <v>2011462986</v>
      </c>
      <c r="P136" s="11"/>
      <c r="Q136" s="11">
        <f>SUMIF($M$114:$M$134,D136,$Q$114:$Q$134)</f>
        <v>629223510.20000005</v>
      </c>
      <c r="R136" s="11">
        <f>SUMIF($M$114:$M$134,D136,$R$114:$R$134)</f>
        <v>515765.2</v>
      </c>
      <c r="S136" s="11">
        <f>SUMIF($M$114:$M$134,D136,$S$114:$S$134)</f>
        <v>1383303275</v>
      </c>
      <c r="T136" s="286"/>
      <c r="U136" s="8"/>
      <c r="V136" s="5"/>
    </row>
    <row r="137" spans="1:22" s="9" customFormat="1" ht="28.5" customHeight="1" x14ac:dyDescent="0.25">
      <c r="A137" s="361"/>
      <c r="B137" s="362"/>
      <c r="C137" s="362"/>
      <c r="D137" s="380" t="s">
        <v>51</v>
      </c>
      <c r="E137" s="381"/>
      <c r="F137" s="381"/>
      <c r="G137" s="381"/>
      <c r="H137" s="381"/>
      <c r="I137" s="381"/>
      <c r="J137" s="381"/>
      <c r="K137" s="381"/>
      <c r="L137" s="382"/>
      <c r="M137" s="54"/>
      <c r="N137" s="11">
        <f>SUMIF($M$114:$M$134,D137,$N$114:$N$134)</f>
        <v>0</v>
      </c>
      <c r="O137" s="11">
        <f>SUMIF($M$104:$M$134,D137,$O$104:$O$134)</f>
        <v>0</v>
      </c>
      <c r="P137" s="11"/>
      <c r="Q137" s="11">
        <f>SUMIF($M$104:$M$134,D137,$Q$104:$Q$134)</f>
        <v>0</v>
      </c>
      <c r="R137" s="11">
        <f>SUMIF($M$104:$M$134,D137,$R$104:$R$134)</f>
        <v>0</v>
      </c>
      <c r="S137" s="11">
        <f>SUMIF($M$104:$M$134,D137,$S$104:$S$134)</f>
        <v>0</v>
      </c>
      <c r="T137" s="286"/>
      <c r="U137" s="8"/>
      <c r="V137" s="5"/>
    </row>
    <row r="138" spans="1:22" s="9" customFormat="1" ht="30" customHeight="1" thickBot="1" x14ac:dyDescent="0.3">
      <c r="A138" s="391"/>
      <c r="B138" s="392"/>
      <c r="C138" s="392"/>
      <c r="D138" s="366" t="s">
        <v>71</v>
      </c>
      <c r="E138" s="367"/>
      <c r="F138" s="367"/>
      <c r="G138" s="367"/>
      <c r="H138" s="367"/>
      <c r="I138" s="367"/>
      <c r="J138" s="367"/>
      <c r="K138" s="367"/>
      <c r="L138" s="368"/>
      <c r="M138" s="57"/>
      <c r="N138" s="12">
        <f>SUMIF($M$114:$M$134,D138,$N$114:$N$134)</f>
        <v>0</v>
      </c>
      <c r="O138" s="12">
        <f>SUMIF($M$104:$M$134,D138,$O$104:$O$134)</f>
        <v>0</v>
      </c>
      <c r="P138" s="12"/>
      <c r="Q138" s="12">
        <f>SUMIF($M$104:$M$134,D138,$Q$104:$Q$134)</f>
        <v>0</v>
      </c>
      <c r="R138" s="12">
        <f>SUMIF($M$104:$M$134,D138,$R$104:$R$134)</f>
        <v>0</v>
      </c>
      <c r="S138" s="12">
        <f>SUMIF($M$104:$M$134,D138,$S$104:$S$134)</f>
        <v>0</v>
      </c>
      <c r="T138" s="288"/>
      <c r="U138" s="8"/>
      <c r="V138" s="5"/>
    </row>
    <row r="139" spans="1:22" s="9" customFormat="1" ht="15.75" customHeight="1" x14ac:dyDescent="0.25">
      <c r="A139" s="359" t="s">
        <v>260</v>
      </c>
      <c r="B139" s="360"/>
      <c r="C139" s="396"/>
      <c r="D139" s="379" t="s">
        <v>29</v>
      </c>
      <c r="E139" s="399"/>
      <c r="F139" s="399"/>
      <c r="G139" s="399"/>
      <c r="H139" s="399"/>
      <c r="I139" s="399"/>
      <c r="J139" s="399"/>
      <c r="K139" s="399"/>
      <c r="L139" s="399"/>
      <c r="M139" s="80"/>
      <c r="N139" s="14">
        <f t="shared" ref="N139:S142" si="9">N46+N57+N68+N100+N110+N135</f>
        <v>340755742.28000003</v>
      </c>
      <c r="O139" s="14">
        <f t="shared" si="9"/>
        <v>141932627.11000001</v>
      </c>
      <c r="P139" s="14">
        <f t="shared" si="9"/>
        <v>0</v>
      </c>
      <c r="Q139" s="14">
        <f t="shared" si="9"/>
        <v>50627856.139612287</v>
      </c>
      <c r="R139" s="14">
        <f t="shared" si="9"/>
        <v>19389223.196404777</v>
      </c>
      <c r="S139" s="14">
        <f t="shared" si="9"/>
        <v>92066339.400387689</v>
      </c>
      <c r="T139" s="293"/>
      <c r="U139" s="8"/>
      <c r="V139" s="5"/>
    </row>
    <row r="140" spans="1:22" s="9" customFormat="1" ht="17.25" customHeight="1" x14ac:dyDescent="0.25">
      <c r="A140" s="361"/>
      <c r="B140" s="362"/>
      <c r="C140" s="397"/>
      <c r="D140" s="382" t="s">
        <v>2</v>
      </c>
      <c r="E140" s="364"/>
      <c r="F140" s="364"/>
      <c r="G140" s="364"/>
      <c r="H140" s="364"/>
      <c r="I140" s="364"/>
      <c r="J140" s="364"/>
      <c r="K140" s="364"/>
      <c r="L140" s="364"/>
      <c r="M140" s="80"/>
      <c r="N140" s="14">
        <f t="shared" si="9"/>
        <v>179740663940.10001</v>
      </c>
      <c r="O140" s="14">
        <f t="shared" si="9"/>
        <v>198697893242.60999</v>
      </c>
      <c r="P140" s="14">
        <f t="shared" si="9"/>
        <v>0</v>
      </c>
      <c r="Q140" s="14">
        <f t="shared" si="9"/>
        <v>97391101287.644714</v>
      </c>
      <c r="R140" s="14">
        <f t="shared" si="9"/>
        <v>47746184577.569481</v>
      </c>
      <c r="S140" s="14">
        <f t="shared" si="9"/>
        <v>101307855754.16527</v>
      </c>
      <c r="T140" s="286"/>
      <c r="U140" s="8"/>
      <c r="V140" s="5"/>
    </row>
    <row r="141" spans="1:22" s="9" customFormat="1" ht="15" customHeight="1" x14ac:dyDescent="0.25">
      <c r="A141" s="361"/>
      <c r="B141" s="362"/>
      <c r="C141" s="397"/>
      <c r="D141" s="382" t="s">
        <v>51</v>
      </c>
      <c r="E141" s="364"/>
      <c r="F141" s="364"/>
      <c r="G141" s="364"/>
      <c r="H141" s="364"/>
      <c r="I141" s="364"/>
      <c r="J141" s="364"/>
      <c r="K141" s="364"/>
      <c r="L141" s="364"/>
      <c r="M141" s="54"/>
      <c r="N141" s="14">
        <f t="shared" si="9"/>
        <v>481140620.32000005</v>
      </c>
      <c r="O141" s="14">
        <f t="shared" si="9"/>
        <v>361593444.99000001</v>
      </c>
      <c r="P141" s="14">
        <f t="shared" si="9"/>
        <v>0</v>
      </c>
      <c r="Q141" s="14">
        <f t="shared" si="9"/>
        <v>115397872.29957025</v>
      </c>
      <c r="R141" s="14">
        <f t="shared" si="9"/>
        <v>63458967.660840116</v>
      </c>
      <c r="S141" s="14">
        <f t="shared" si="9"/>
        <v>246195572.69042978</v>
      </c>
      <c r="T141" s="286"/>
      <c r="U141" s="8"/>
      <c r="V141" s="5"/>
    </row>
    <row r="142" spans="1:22" s="9" customFormat="1" ht="25.5" customHeight="1" x14ac:dyDescent="0.25">
      <c r="A142" s="391"/>
      <c r="B142" s="392"/>
      <c r="C142" s="398"/>
      <c r="D142" s="400" t="s">
        <v>71</v>
      </c>
      <c r="E142" s="365"/>
      <c r="F142" s="365"/>
      <c r="G142" s="365"/>
      <c r="H142" s="365"/>
      <c r="I142" s="365"/>
      <c r="J142" s="365"/>
      <c r="K142" s="365"/>
      <c r="L142" s="365"/>
      <c r="M142" s="55"/>
      <c r="N142" s="14">
        <f t="shared" si="9"/>
        <v>31777311969</v>
      </c>
      <c r="O142" s="14">
        <f t="shared" si="9"/>
        <v>31859249643</v>
      </c>
      <c r="P142" s="14">
        <f t="shared" si="9"/>
        <v>0</v>
      </c>
      <c r="Q142" s="14">
        <f t="shared" si="9"/>
        <v>12178517548.709158</v>
      </c>
      <c r="R142" s="14">
        <f t="shared" si="9"/>
        <v>3571514171.4328051</v>
      </c>
      <c r="S142" s="14">
        <f t="shared" si="9"/>
        <v>19680732094.29084</v>
      </c>
      <c r="T142" s="287"/>
      <c r="U142" s="8"/>
      <c r="V142" s="5"/>
    </row>
    <row r="143" spans="1:22" s="9" customFormat="1" ht="15" customHeight="1" thickBot="1" x14ac:dyDescent="0.3">
      <c r="A143" s="391"/>
      <c r="B143" s="392"/>
      <c r="C143" s="398"/>
      <c r="D143" s="390" t="s">
        <v>61</v>
      </c>
      <c r="E143" s="381"/>
      <c r="F143" s="381"/>
      <c r="G143" s="381"/>
      <c r="H143" s="381"/>
      <c r="I143" s="381"/>
      <c r="J143" s="381"/>
      <c r="K143" s="381"/>
      <c r="L143" s="382"/>
      <c r="M143" s="55"/>
      <c r="N143" s="14">
        <f t="shared" ref="N143:S143" si="10">N50</f>
        <v>24086688</v>
      </c>
      <c r="O143" s="14">
        <f t="shared" si="10"/>
        <v>18384172.012149811</v>
      </c>
      <c r="P143" s="14">
        <f t="shared" si="10"/>
        <v>0</v>
      </c>
      <c r="Q143" s="14">
        <f t="shared" si="10"/>
        <v>3889303.4021576373</v>
      </c>
      <c r="R143" s="14">
        <f t="shared" si="10"/>
        <v>2687639.4595199237</v>
      </c>
      <c r="S143" s="14">
        <f t="shared" si="10"/>
        <v>14494868.609992173</v>
      </c>
      <c r="T143" s="287"/>
      <c r="U143" s="8"/>
      <c r="V143" s="5"/>
    </row>
    <row r="144" spans="1:22" ht="51" customHeight="1" thickBot="1" x14ac:dyDescent="0.3">
      <c r="A144" s="81">
        <v>96</v>
      </c>
      <c r="B144" s="82" t="s">
        <v>261</v>
      </c>
      <c r="C144" s="83" t="s">
        <v>262</v>
      </c>
      <c r="D144" s="83" t="s">
        <v>463</v>
      </c>
      <c r="E144" s="83"/>
      <c r="F144" s="83"/>
      <c r="G144" s="83"/>
      <c r="H144" s="83"/>
      <c r="I144" s="83"/>
      <c r="J144" s="83"/>
      <c r="K144" s="83" t="s">
        <v>363</v>
      </c>
      <c r="L144" s="83" t="s">
        <v>263</v>
      </c>
      <c r="M144" s="83" t="s">
        <v>2</v>
      </c>
      <c r="N144" s="84">
        <f>834800635300+144000000000+32000000000+132000000000+3500000000+14000000000+2900000000+4000000000</f>
        <v>1167200635300</v>
      </c>
      <c r="O144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P144" s="102">
        <v>1E-4</v>
      </c>
      <c r="Q144" s="85"/>
      <c r="R144" s="85"/>
      <c r="S144" s="86">
        <f>O144-Q144</f>
        <v>1161789822801.3999</v>
      </c>
      <c r="T144" s="294" t="s">
        <v>76</v>
      </c>
      <c r="V144" s="9"/>
    </row>
    <row r="145" spans="2:22" ht="17.25" x14ac:dyDescent="0.3">
      <c r="B145" s="87" t="s">
        <v>2</v>
      </c>
      <c r="C145" s="88"/>
      <c r="M145" s="90"/>
      <c r="N145" s="16"/>
      <c r="O145" s="16"/>
      <c r="S145" s="92"/>
      <c r="T145" s="18"/>
    </row>
    <row r="146" spans="2:22" ht="17.25" x14ac:dyDescent="0.3">
      <c r="B146" s="87" t="s">
        <v>51</v>
      </c>
      <c r="C146" s="88">
        <v>393.28</v>
      </c>
      <c r="N146" s="16"/>
      <c r="O146" s="17"/>
      <c r="P146" s="93"/>
      <c r="R146" s="16"/>
      <c r="S146" s="94"/>
      <c r="T146" s="95"/>
    </row>
    <row r="147" spans="2:22" ht="17.25" x14ac:dyDescent="0.3">
      <c r="B147" s="87" t="s">
        <v>71</v>
      </c>
      <c r="C147" s="96">
        <v>2.5990000000000002</v>
      </c>
      <c r="O147" s="16"/>
      <c r="R147" s="16"/>
      <c r="S147" s="154"/>
      <c r="T147" s="97"/>
    </row>
    <row r="148" spans="2:22" ht="17.25" x14ac:dyDescent="0.3">
      <c r="B148" s="87" t="s">
        <v>29</v>
      </c>
      <c r="C148" s="88">
        <v>424.11</v>
      </c>
      <c r="O148" s="17"/>
      <c r="R148" s="16"/>
      <c r="S148" s="17"/>
      <c r="T148" s="97"/>
    </row>
    <row r="149" spans="2:22" ht="17.25" x14ac:dyDescent="0.3">
      <c r="B149" s="87" t="s">
        <v>61</v>
      </c>
      <c r="C149" s="88">
        <v>520.48</v>
      </c>
      <c r="R149" s="18"/>
      <c r="S149" s="16"/>
      <c r="T149" s="5"/>
    </row>
    <row r="150" spans="2:22" x14ac:dyDescent="0.25">
      <c r="T150" s="5"/>
    </row>
    <row r="151" spans="2:22" x14ac:dyDescent="0.25">
      <c r="S151" s="19"/>
    </row>
    <row r="152" spans="2:22" x14ac:dyDescent="0.25">
      <c r="O152" s="154"/>
      <c r="R152" s="16"/>
      <c r="S152" s="154"/>
    </row>
    <row r="153" spans="2:22" x14ac:dyDescent="0.25">
      <c r="S153" s="16"/>
    </row>
    <row r="154" spans="2:22" x14ac:dyDescent="0.25">
      <c r="S154" s="16"/>
    </row>
    <row r="158" spans="2:22" x14ac:dyDescent="0.25">
      <c r="S158" s="16"/>
    </row>
    <row r="159" spans="2:22" s="17" customFormat="1" x14ac:dyDescent="0.25">
      <c r="B159" s="20"/>
      <c r="C159" s="6"/>
      <c r="D159" s="6"/>
      <c r="E159" s="6"/>
      <c r="F159" s="6"/>
      <c r="G159" s="6"/>
      <c r="H159" s="6"/>
      <c r="I159" s="6"/>
      <c r="J159" s="6"/>
      <c r="K159" s="89"/>
      <c r="L159" s="6"/>
      <c r="M159" s="6"/>
      <c r="N159" s="6"/>
      <c r="O159" s="6"/>
      <c r="P159" s="91"/>
      <c r="Q159" s="6"/>
      <c r="R159" s="6"/>
      <c r="S159" s="16"/>
      <c r="T159" s="6"/>
      <c r="U159" s="5"/>
      <c r="V159" s="6"/>
    </row>
    <row r="160" spans="2:22" x14ac:dyDescent="0.25">
      <c r="V160" s="17"/>
    </row>
  </sheetData>
  <protectedRanges>
    <protectedRange password="C670" sqref="T79:T91 A79:N91 A73:N76 A64:T67 O73:T76 O79:S91" name="Maria"/>
    <protectedRange algorithmName="SHA-512" hashValue="R0m7mG/o0t2+7dbQTzM5iQkFX2amgAS+iAGJudQnnweh07e6LDAbSuhvcwbzcp7drP+HIG4d/wHfMCXiBXmkow==" saltValue="hXh6Ce3lteSj/cvmR3BSBw==" spinCount="100000" sqref="A144:R144 T95:T97 T144 T114:T134 A95:R97 A114:R134" name="Narine"/>
    <protectedRange algorithmName="SHA-512" hashValue="/qDn2zoAPl6XveVGTDHZcWIjR6P6fmKMYiOIx92BVGuoQ3TYOXlsDsoiDSLs1D9Ugjb3A3EixLJ11cGk8PSHvw==" saltValue="LV/JN9wntl8CkZ3QpoEkqA==" spinCount="100000" sqref="T97:T99 A61:R62 A97:R99 T61:T62" name="Nara"/>
    <protectedRange algorithmName="SHA-512" hashValue="2hnhy85Hze6pXZTujHMyiGA7lE9yapdzAMEgpTAQUbEvX5wkbgVJAYj8efzABUddHb+HHBXm+QO7FFQ7DdcL0Q==" saltValue="/3Se5MhqYIbXZuII16lL6A==" spinCount="100000" sqref="A104:N109 A72:T72 O104:T109" name="Nona"/>
  </protectedRanges>
  <mergeCells count="194">
    <mergeCell ref="D143:L143"/>
    <mergeCell ref="A135:C138"/>
    <mergeCell ref="D135:L135"/>
    <mergeCell ref="D136:L136"/>
    <mergeCell ref="D137:L137"/>
    <mergeCell ref="D138:L138"/>
    <mergeCell ref="A139:C143"/>
    <mergeCell ref="D139:L139"/>
    <mergeCell ref="D140:L140"/>
    <mergeCell ref="D141:L141"/>
    <mergeCell ref="D142:L142"/>
    <mergeCell ref="A110:C113"/>
    <mergeCell ref="D110:L110"/>
    <mergeCell ref="D111:L111"/>
    <mergeCell ref="D112:L112"/>
    <mergeCell ref="D113:L113"/>
    <mergeCell ref="A100:C103"/>
    <mergeCell ref="D100:L100"/>
    <mergeCell ref="D101:L101"/>
    <mergeCell ref="D102:L102"/>
    <mergeCell ref="D103:L103"/>
    <mergeCell ref="B105:B107"/>
    <mergeCell ref="C105:C107"/>
    <mergeCell ref="T86:T87"/>
    <mergeCell ref="A92:A93"/>
    <mergeCell ref="B92:B93"/>
    <mergeCell ref="C92:C93"/>
    <mergeCell ref="D92:D93"/>
    <mergeCell ref="K92:K93"/>
    <mergeCell ref="L92:L93"/>
    <mergeCell ref="T92:T93"/>
    <mergeCell ref="A75:A76"/>
    <mergeCell ref="B75:B76"/>
    <mergeCell ref="C75:C76"/>
    <mergeCell ref="L75:L76"/>
    <mergeCell ref="T80:T82"/>
    <mergeCell ref="A86:A87"/>
    <mergeCell ref="B86:B87"/>
    <mergeCell ref="C86:C87"/>
    <mergeCell ref="D86:D87"/>
    <mergeCell ref="K86:K87"/>
    <mergeCell ref="A57:C60"/>
    <mergeCell ref="D57:L57"/>
    <mergeCell ref="D58:L58"/>
    <mergeCell ref="D59:L59"/>
    <mergeCell ref="D60:L60"/>
    <mergeCell ref="A68:C71"/>
    <mergeCell ref="D68:L68"/>
    <mergeCell ref="D69:L69"/>
    <mergeCell ref="D70:L70"/>
    <mergeCell ref="D71:L71"/>
    <mergeCell ref="B52:B53"/>
    <mergeCell ref="T52:T53"/>
    <mergeCell ref="A55:A56"/>
    <mergeCell ref="B55:B56"/>
    <mergeCell ref="C55:C56"/>
    <mergeCell ref="T55:T56"/>
    <mergeCell ref="D44:D45"/>
    <mergeCell ref="P44:P45"/>
    <mergeCell ref="A46:C50"/>
    <mergeCell ref="D46:L46"/>
    <mergeCell ref="D47:L47"/>
    <mergeCell ref="D48:L48"/>
    <mergeCell ref="D49:L49"/>
    <mergeCell ref="D50:L50"/>
    <mergeCell ref="T34:T36"/>
    <mergeCell ref="A42:A43"/>
    <mergeCell ref="B42:B43"/>
    <mergeCell ref="C42:C43"/>
    <mergeCell ref="K42:K43"/>
    <mergeCell ref="L42:L43"/>
    <mergeCell ref="P42:P43"/>
    <mergeCell ref="T42:T43"/>
    <mergeCell ref="A34:A36"/>
    <mergeCell ref="B34:B36"/>
    <mergeCell ref="C34:C36"/>
    <mergeCell ref="D34:D36"/>
    <mergeCell ref="E34:E36"/>
    <mergeCell ref="K34:K36"/>
    <mergeCell ref="G31:G32"/>
    <mergeCell ref="H31:H32"/>
    <mergeCell ref="I31:I32"/>
    <mergeCell ref="J31:J32"/>
    <mergeCell ref="K31:K32"/>
    <mergeCell ref="L31:L32"/>
    <mergeCell ref="A31:A32"/>
    <mergeCell ref="B31:B32"/>
    <mergeCell ref="C31:C32"/>
    <mergeCell ref="D31:D32"/>
    <mergeCell ref="E31:E32"/>
    <mergeCell ref="F31:F32"/>
    <mergeCell ref="J27:J28"/>
    <mergeCell ref="C29:C30"/>
    <mergeCell ref="D29:D30"/>
    <mergeCell ref="E29:E30"/>
    <mergeCell ref="F29:F30"/>
    <mergeCell ref="G29:G30"/>
    <mergeCell ref="H29:H30"/>
    <mergeCell ref="I29:I30"/>
    <mergeCell ref="J29:J30"/>
    <mergeCell ref="C27:C28"/>
    <mergeCell ref="D27:D28"/>
    <mergeCell ref="F27:F28"/>
    <mergeCell ref="G27:G28"/>
    <mergeCell ref="H27:H28"/>
    <mergeCell ref="I27:I28"/>
    <mergeCell ref="P19:P22"/>
    <mergeCell ref="T19:T20"/>
    <mergeCell ref="P23:P24"/>
    <mergeCell ref="T23:T24"/>
    <mergeCell ref="A25:A26"/>
    <mergeCell ref="B25:B26"/>
    <mergeCell ref="K25:K26"/>
    <mergeCell ref="L25:L26"/>
    <mergeCell ref="P25:P26"/>
    <mergeCell ref="T25:T26"/>
    <mergeCell ref="G23:G26"/>
    <mergeCell ref="H23:H26"/>
    <mergeCell ref="I23:I26"/>
    <mergeCell ref="J23:J26"/>
    <mergeCell ref="K23:K24"/>
    <mergeCell ref="L23:L24"/>
    <mergeCell ref="A23:A24"/>
    <mergeCell ref="B23:B24"/>
    <mergeCell ref="C23:C26"/>
    <mergeCell ref="D23:D26"/>
    <mergeCell ref="E23:E26"/>
    <mergeCell ref="F23:F26"/>
    <mergeCell ref="T17:T18"/>
    <mergeCell ref="A19:A20"/>
    <mergeCell ref="B19:B20"/>
    <mergeCell ref="C19:C22"/>
    <mergeCell ref="D19:D22"/>
    <mergeCell ref="E19:E21"/>
    <mergeCell ref="F19:F21"/>
    <mergeCell ref="G19:G21"/>
    <mergeCell ref="H19:H21"/>
    <mergeCell ref="A17:A18"/>
    <mergeCell ref="B17:B18"/>
    <mergeCell ref="C17:C18"/>
    <mergeCell ref="D17:D18"/>
    <mergeCell ref="K17:K18"/>
    <mergeCell ref="L17:L18"/>
    <mergeCell ref="A21:A22"/>
    <mergeCell ref="B21:B22"/>
    <mergeCell ref="K21:K22"/>
    <mergeCell ref="L21:L22"/>
    <mergeCell ref="T21:T22"/>
    <mergeCell ref="I19:I21"/>
    <mergeCell ref="J19:J21"/>
    <mergeCell ref="K19:K20"/>
    <mergeCell ref="L19:L20"/>
    <mergeCell ref="J15:J16"/>
    <mergeCell ref="K15:K16"/>
    <mergeCell ref="L15:L16"/>
    <mergeCell ref="P15:P16"/>
    <mergeCell ref="T15:T16"/>
    <mergeCell ref="T13:T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3:A14"/>
    <mergeCell ref="B13:B14"/>
    <mergeCell ref="C13:C14"/>
    <mergeCell ref="K13:K14"/>
    <mergeCell ref="L13:L14"/>
    <mergeCell ref="P13:P14"/>
    <mergeCell ref="A1:T1"/>
    <mergeCell ref="A2:T2"/>
    <mergeCell ref="A5:A6"/>
    <mergeCell ref="B5:B6"/>
    <mergeCell ref="D5:D6"/>
    <mergeCell ref="E5:E6"/>
    <mergeCell ref="K5:K6"/>
    <mergeCell ref="T9:T10"/>
    <mergeCell ref="A11:A12"/>
    <mergeCell ref="B11:B12"/>
    <mergeCell ref="C11:C12"/>
    <mergeCell ref="K11:K12"/>
    <mergeCell ref="L11:L12"/>
    <mergeCell ref="P11:P12"/>
    <mergeCell ref="T11:T12"/>
    <mergeCell ref="A9:A10"/>
    <mergeCell ref="B9:B10"/>
    <mergeCell ref="C9:C10"/>
    <mergeCell ref="K9:K10"/>
    <mergeCell ref="L9:L10"/>
    <mergeCell ref="P9:P10"/>
  </mergeCells>
  <conditionalFormatting sqref="O5">
    <cfRule type="cellIs" dxfId="4" priority="5" operator="notEqual">
      <formula>#REF!</formula>
    </cfRule>
  </conditionalFormatting>
  <conditionalFormatting sqref="O94 O6:O33 O35:O44">
    <cfRule type="cellIs" dxfId="3" priority="4" operator="notEqual">
      <formula>#REF!</formula>
    </cfRule>
  </conditionalFormatting>
  <conditionalFormatting sqref="N21">
    <cfRule type="cellIs" dxfId="2" priority="3" operator="notEqual">
      <formula>#REF!</formula>
    </cfRule>
  </conditionalFormatting>
  <conditionalFormatting sqref="O45">
    <cfRule type="cellIs" dxfId="1" priority="2" operator="notEqual">
      <formula>#REF!</formula>
    </cfRule>
  </conditionalFormatting>
  <conditionalFormatting sqref="O78">
    <cfRule type="cellIs" dxfId="0" priority="1" operator="notEqual">
      <formula>#REF!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7"/>
  <sheetViews>
    <sheetView zoomScaleNormal="100" workbookViewId="0">
      <selection activeCell="D8" sqref="D8"/>
    </sheetView>
  </sheetViews>
  <sheetFormatPr defaultColWidth="25.85546875" defaultRowHeight="15.75" x14ac:dyDescent="0.25"/>
  <cols>
    <col min="1" max="1" width="35.85546875" style="216" customWidth="1"/>
    <col min="2" max="2" width="32.28515625" style="216" customWidth="1"/>
    <col min="3" max="3" width="35.85546875" style="216" customWidth="1"/>
    <col min="4" max="4" width="32.42578125" style="216" customWidth="1"/>
    <col min="5" max="5" width="28.85546875" style="216" customWidth="1"/>
    <col min="6" max="6" width="22.28515625" style="216" customWidth="1"/>
    <col min="7" max="16384" width="25.85546875" style="216"/>
  </cols>
  <sheetData>
    <row r="1" spans="1:8" ht="18.75" x14ac:dyDescent="0.25">
      <c r="A1" s="410" t="s">
        <v>270</v>
      </c>
      <c r="B1" s="410"/>
      <c r="C1" s="410"/>
      <c r="D1" s="410"/>
      <c r="E1" s="410"/>
    </row>
    <row r="2" spans="1:8" ht="61.5" customHeight="1" x14ac:dyDescent="0.25">
      <c r="A2" s="410" t="s">
        <v>492</v>
      </c>
      <c r="B2" s="410"/>
      <c r="C2" s="410"/>
      <c r="D2" s="410"/>
      <c r="E2" s="410"/>
    </row>
    <row r="4" spans="1:8" ht="16.5" thickBot="1" x14ac:dyDescent="0.3"/>
    <row r="5" spans="1:8" ht="51.75" x14ac:dyDescent="0.25">
      <c r="A5" s="298" t="s">
        <v>271</v>
      </c>
      <c r="B5" s="299" t="s">
        <v>272</v>
      </c>
      <c r="C5" s="299" t="s">
        <v>273</v>
      </c>
      <c r="D5" s="299" t="s">
        <v>274</v>
      </c>
      <c r="E5" s="300" t="s">
        <v>283</v>
      </c>
    </row>
    <row r="6" spans="1:8" ht="34.5" x14ac:dyDescent="0.25">
      <c r="A6" s="301" t="s">
        <v>365</v>
      </c>
      <c r="B6" s="295" t="s">
        <v>364</v>
      </c>
      <c r="C6" s="295" t="s">
        <v>366</v>
      </c>
      <c r="D6" s="296">
        <v>500000000</v>
      </c>
      <c r="E6" s="302">
        <v>206696346.70000005</v>
      </c>
      <c r="G6" s="217"/>
      <c r="H6" s="217"/>
    </row>
    <row r="7" spans="1:8" ht="34.5" x14ac:dyDescent="0.25">
      <c r="A7" s="303" t="s">
        <v>371</v>
      </c>
      <c r="B7" s="295" t="s">
        <v>364</v>
      </c>
      <c r="C7" s="295" t="s">
        <v>377</v>
      </c>
      <c r="D7" s="296">
        <v>1248200000</v>
      </c>
      <c r="E7" s="302">
        <v>1248200000</v>
      </c>
      <c r="G7" s="217"/>
      <c r="H7" s="217"/>
    </row>
    <row r="8" spans="1:8" ht="34.5" x14ac:dyDescent="0.25">
      <c r="A8" s="303" t="s">
        <v>372</v>
      </c>
      <c r="B8" s="295" t="s">
        <v>275</v>
      </c>
      <c r="C8" s="295" t="s">
        <v>378</v>
      </c>
      <c r="D8" s="296">
        <v>139373675</v>
      </c>
      <c r="E8" s="302">
        <v>139373675</v>
      </c>
      <c r="G8" s="217"/>
      <c r="H8" s="217"/>
    </row>
    <row r="9" spans="1:8" ht="33" customHeight="1" x14ac:dyDescent="0.25">
      <c r="A9" s="303" t="s">
        <v>373</v>
      </c>
      <c r="B9" s="295" t="s">
        <v>375</v>
      </c>
      <c r="C9" s="295" t="s">
        <v>377</v>
      </c>
      <c r="D9" s="296">
        <v>900000000</v>
      </c>
      <c r="E9" s="302">
        <v>900000000</v>
      </c>
      <c r="G9" s="217"/>
      <c r="H9" s="217"/>
    </row>
    <row r="10" spans="1:8" ht="34.5" x14ac:dyDescent="0.25">
      <c r="A10" s="303" t="s">
        <v>374</v>
      </c>
      <c r="B10" s="295" t="s">
        <v>376</v>
      </c>
      <c r="C10" s="295" t="s">
        <v>378</v>
      </c>
      <c r="D10" s="296">
        <v>250000000</v>
      </c>
      <c r="E10" s="302">
        <v>250000000</v>
      </c>
      <c r="G10" s="217"/>
      <c r="H10" s="217"/>
    </row>
    <row r="11" spans="1:8" ht="34.5" x14ac:dyDescent="0.25">
      <c r="A11" s="304" t="s">
        <v>395</v>
      </c>
      <c r="B11" s="295" t="s">
        <v>275</v>
      </c>
      <c r="C11" s="295" t="s">
        <v>419</v>
      </c>
      <c r="D11" s="296">
        <v>218138000</v>
      </c>
      <c r="E11" s="302">
        <v>218138000</v>
      </c>
      <c r="G11" s="217"/>
      <c r="H11" s="217"/>
    </row>
    <row r="12" spans="1:8" ht="17.25" x14ac:dyDescent="0.25">
      <c r="A12" s="304" t="s">
        <v>388</v>
      </c>
      <c r="B12" s="295" t="s">
        <v>275</v>
      </c>
      <c r="C12" s="295" t="s">
        <v>420</v>
      </c>
      <c r="D12" s="296">
        <v>692955973</v>
      </c>
      <c r="E12" s="302">
        <v>692955972</v>
      </c>
      <c r="G12" s="217"/>
      <c r="H12" s="217"/>
    </row>
    <row r="13" spans="1:8" ht="17.25" x14ac:dyDescent="0.25">
      <c r="A13" s="303" t="s">
        <v>421</v>
      </c>
      <c r="B13" s="295" t="s">
        <v>275</v>
      </c>
      <c r="C13" s="295" t="s">
        <v>422</v>
      </c>
      <c r="D13" s="296">
        <v>674283500</v>
      </c>
      <c r="E13" s="302">
        <v>674283500</v>
      </c>
      <c r="G13" s="217"/>
      <c r="H13" s="217"/>
    </row>
    <row r="14" spans="1:8" ht="34.5" x14ac:dyDescent="0.25">
      <c r="A14" s="303" t="s">
        <v>365</v>
      </c>
      <c r="B14" s="295" t="s">
        <v>364</v>
      </c>
      <c r="C14" s="295" t="s">
        <v>445</v>
      </c>
      <c r="D14" s="296">
        <v>750000000</v>
      </c>
      <c r="E14" s="302">
        <v>750000000</v>
      </c>
      <c r="G14" s="217"/>
      <c r="H14" s="217"/>
    </row>
    <row r="15" spans="1:8" ht="69" x14ac:dyDescent="0.25">
      <c r="A15" s="303" t="s">
        <v>365</v>
      </c>
      <c r="B15" s="295" t="s">
        <v>282</v>
      </c>
      <c r="C15" s="297" t="s">
        <v>452</v>
      </c>
      <c r="D15" s="296">
        <v>150000000</v>
      </c>
      <c r="E15" s="302">
        <v>150000000</v>
      </c>
      <c r="G15" s="217"/>
      <c r="H15" s="217"/>
    </row>
    <row r="16" spans="1:8" ht="50.25" customHeight="1" x14ac:dyDescent="0.25">
      <c r="A16" s="303" t="s">
        <v>450</v>
      </c>
      <c r="B16" s="295" t="s">
        <v>275</v>
      </c>
      <c r="C16" s="297" t="s">
        <v>453</v>
      </c>
      <c r="D16" s="296">
        <v>500000000</v>
      </c>
      <c r="E16" s="302">
        <v>500000000</v>
      </c>
      <c r="G16" s="217"/>
      <c r="H16" s="217"/>
    </row>
    <row r="17" spans="1:8" ht="47.25" customHeight="1" x14ac:dyDescent="0.25">
      <c r="A17" s="303" t="s">
        <v>451</v>
      </c>
      <c r="B17" s="295" t="s">
        <v>275</v>
      </c>
      <c r="C17" s="297" t="s">
        <v>454</v>
      </c>
      <c r="D17" s="296">
        <v>1283781000</v>
      </c>
      <c r="E17" s="302">
        <v>1283781000</v>
      </c>
      <c r="G17" s="217"/>
      <c r="H17" s="217"/>
    </row>
    <row r="18" spans="1:8" ht="33" customHeight="1" thickBot="1" x14ac:dyDescent="0.3">
      <c r="A18" s="305" t="s">
        <v>276</v>
      </c>
      <c r="B18" s="306"/>
      <c r="C18" s="306"/>
      <c r="D18" s="307">
        <f>SUM(D6:D17)</f>
        <v>7306732148</v>
      </c>
      <c r="E18" s="308">
        <f>SUM(E6:E17)</f>
        <v>7013428493.6999998</v>
      </c>
    </row>
    <row r="21" spans="1:8" x14ac:dyDescent="0.25">
      <c r="A21" s="218"/>
      <c r="B21" s="218"/>
      <c r="C21" s="218"/>
      <c r="D21" s="218"/>
      <c r="E21" s="218"/>
      <c r="F21" s="218"/>
      <c r="G21" s="219"/>
      <c r="H21" s="219"/>
    </row>
    <row r="22" spans="1:8" x14ac:dyDescent="0.25">
      <c r="A22" s="218"/>
      <c r="B22" s="218"/>
      <c r="C22" s="218"/>
      <c r="D22" s="218"/>
      <c r="E22" s="218"/>
      <c r="F22" s="218"/>
      <c r="G22" s="219"/>
      <c r="H22" s="219"/>
    </row>
    <row r="23" spans="1:8" x14ac:dyDescent="0.25">
      <c r="A23" s="218"/>
      <c r="B23" s="218"/>
      <c r="C23" s="218"/>
      <c r="D23" s="218"/>
      <c r="E23" s="218"/>
      <c r="F23" s="218"/>
      <c r="G23" s="219"/>
      <c r="H23" s="219"/>
    </row>
    <row r="24" spans="1:8" x14ac:dyDescent="0.25">
      <c r="A24" s="218"/>
      <c r="B24" s="218"/>
      <c r="C24" s="218"/>
      <c r="D24" s="218"/>
      <c r="E24" s="218"/>
      <c r="F24" s="218"/>
      <c r="G24" s="219"/>
      <c r="H24" s="219"/>
    </row>
    <row r="25" spans="1:8" x14ac:dyDescent="0.25">
      <c r="A25" s="218"/>
      <c r="B25" s="218"/>
      <c r="C25" s="218"/>
      <c r="D25" s="218"/>
      <c r="E25" s="218"/>
      <c r="F25" s="218"/>
      <c r="G25" s="219"/>
      <c r="H25" s="219"/>
    </row>
    <row r="26" spans="1:8" x14ac:dyDescent="0.25">
      <c r="A26" s="218"/>
      <c r="B26" s="218"/>
      <c r="C26" s="218"/>
      <c r="D26" s="218"/>
      <c r="E26" s="218"/>
      <c r="F26" s="218"/>
      <c r="G26" s="219"/>
      <c r="H26" s="219"/>
    </row>
    <row r="27" spans="1:8" x14ac:dyDescent="0.25">
      <c r="A27" s="218"/>
      <c r="B27" s="218"/>
      <c r="C27" s="218"/>
      <c r="D27" s="218"/>
      <c r="E27" s="218"/>
      <c r="F27" s="218"/>
      <c r="G27" s="219"/>
      <c r="H27" s="219"/>
    </row>
  </sheetData>
  <mergeCells count="2">
    <mergeCell ref="A2:E2"/>
    <mergeCell ref="A1:E1"/>
  </mergeCells>
  <pageMargins left="0.7" right="0.7" top="0.75" bottom="0.75" header="0.3" footer="0.3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21"/>
  <sheetViews>
    <sheetView tabSelected="1" zoomScaleNormal="100" workbookViewId="0">
      <selection activeCell="E5" sqref="E5:F5"/>
    </sheetView>
  </sheetViews>
  <sheetFormatPr defaultColWidth="9.140625" defaultRowHeight="13.5" x14ac:dyDescent="0.25"/>
  <cols>
    <col min="1" max="1" width="46.42578125" style="220" customWidth="1"/>
    <col min="2" max="2" width="51.5703125" style="220" customWidth="1"/>
    <col min="3" max="3" width="36.42578125" style="220" customWidth="1"/>
    <col min="4" max="4" width="20.28515625" style="220" customWidth="1"/>
    <col min="5" max="5" width="44.85546875" style="220" customWidth="1"/>
    <col min="6" max="6" width="21.7109375" style="220" customWidth="1"/>
    <col min="7" max="7" width="20.28515625" style="220" customWidth="1"/>
    <col min="8" max="8" width="18.42578125" style="221" customWidth="1"/>
    <col min="9" max="10" width="12.7109375" style="221" customWidth="1"/>
    <col min="11" max="16" width="9.140625" style="221"/>
    <col min="17" max="16384" width="9.140625" style="220"/>
  </cols>
  <sheetData>
    <row r="1" spans="1:16" ht="9" customHeight="1" x14ac:dyDescent="0.25"/>
    <row r="2" spans="1:16" s="222" customFormat="1" ht="17.25" customHeight="1" x14ac:dyDescent="0.25">
      <c r="A2" s="411" t="s">
        <v>379</v>
      </c>
      <c r="B2" s="411"/>
      <c r="C2" s="412" t="s">
        <v>380</v>
      </c>
      <c r="D2" s="412"/>
      <c r="E2" s="412" t="s">
        <v>381</v>
      </c>
      <c r="F2" s="412"/>
      <c r="I2" s="223"/>
      <c r="J2" s="223"/>
      <c r="K2" s="223"/>
      <c r="L2" s="223"/>
      <c r="M2" s="223"/>
      <c r="N2" s="223"/>
      <c r="O2" s="223"/>
      <c r="P2" s="223"/>
    </row>
    <row r="3" spans="1:16" ht="15" thickBot="1" x14ac:dyDescent="0.3">
      <c r="H3" s="419" t="s">
        <v>493</v>
      </c>
    </row>
    <row r="4" spans="1:16" s="227" customFormat="1" ht="22.5" customHeight="1" x14ac:dyDescent="0.25">
      <c r="A4" s="413" t="s">
        <v>382</v>
      </c>
      <c r="B4" s="414"/>
      <c r="C4" s="414" t="s">
        <v>383</v>
      </c>
      <c r="D4" s="414"/>
      <c r="E4" s="414" t="s">
        <v>384</v>
      </c>
      <c r="F4" s="414"/>
      <c r="G4" s="224">
        <f>SUM(G6:G17)</f>
        <v>7306732148</v>
      </c>
      <c r="H4" s="225">
        <f>SUM(H6:H17)</f>
        <v>7013428493.6999998</v>
      </c>
      <c r="I4" s="226"/>
      <c r="J4" s="226"/>
      <c r="K4" s="226"/>
      <c r="L4" s="226"/>
      <c r="M4" s="226"/>
      <c r="N4" s="226"/>
      <c r="O4" s="226"/>
      <c r="P4" s="226"/>
    </row>
    <row r="5" spans="1:16" s="227" customFormat="1" ht="104.25" customHeight="1" x14ac:dyDescent="0.25">
      <c r="A5" s="417" t="s">
        <v>385</v>
      </c>
      <c r="B5" s="418"/>
      <c r="C5" s="418" t="s">
        <v>386</v>
      </c>
      <c r="D5" s="418"/>
      <c r="E5" s="418" t="s">
        <v>387</v>
      </c>
      <c r="F5" s="418"/>
      <c r="G5" s="228" t="s">
        <v>423</v>
      </c>
      <c r="H5" s="229" t="s">
        <v>424</v>
      </c>
      <c r="I5" s="226"/>
      <c r="J5" s="226"/>
      <c r="K5" s="226"/>
      <c r="L5" s="226"/>
      <c r="M5" s="226"/>
      <c r="N5" s="226"/>
      <c r="O5" s="226"/>
      <c r="P5" s="226"/>
    </row>
    <row r="6" spans="1:16" ht="43.5" customHeight="1" x14ac:dyDescent="0.25">
      <c r="A6" s="230" t="s">
        <v>365</v>
      </c>
      <c r="B6" s="231" t="s">
        <v>364</v>
      </c>
      <c r="C6" s="231" t="s">
        <v>404</v>
      </c>
      <c r="D6" s="231" t="s">
        <v>405</v>
      </c>
      <c r="E6" s="231" t="s">
        <v>406</v>
      </c>
      <c r="F6" s="231" t="s">
        <v>407</v>
      </c>
      <c r="G6" s="232">
        <v>500000000</v>
      </c>
      <c r="H6" s="229">
        <v>206696346.70000005</v>
      </c>
    </row>
    <row r="7" spans="1:16" ht="50.25" customHeight="1" x14ac:dyDescent="0.25">
      <c r="A7" s="230" t="s">
        <v>371</v>
      </c>
      <c r="B7" s="231" t="s">
        <v>364</v>
      </c>
      <c r="C7" s="231" t="s">
        <v>402</v>
      </c>
      <c r="D7" s="231" t="s">
        <v>405</v>
      </c>
      <c r="E7" s="231" t="s">
        <v>403</v>
      </c>
      <c r="F7" s="231" t="s">
        <v>407</v>
      </c>
      <c r="G7" s="232">
        <v>1248200000</v>
      </c>
      <c r="H7" s="229">
        <v>1248200000</v>
      </c>
    </row>
    <row r="8" spans="1:16" ht="30.75" customHeight="1" x14ac:dyDescent="0.25">
      <c r="A8" s="230" t="s">
        <v>372</v>
      </c>
      <c r="B8" s="231" t="s">
        <v>275</v>
      </c>
      <c r="C8" s="231" t="s">
        <v>393</v>
      </c>
      <c r="D8" s="231" t="s">
        <v>390</v>
      </c>
      <c r="E8" s="231" t="s">
        <v>394</v>
      </c>
      <c r="F8" s="231" t="s">
        <v>392</v>
      </c>
      <c r="G8" s="232">
        <v>139373675</v>
      </c>
      <c r="H8" s="229">
        <v>139373675</v>
      </c>
    </row>
    <row r="9" spans="1:16" ht="27.75" customHeight="1" x14ac:dyDescent="0.25">
      <c r="A9" s="230" t="s">
        <v>373</v>
      </c>
      <c r="B9" s="231" t="s">
        <v>375</v>
      </c>
      <c r="C9" s="231" t="s">
        <v>410</v>
      </c>
      <c r="D9" s="231" t="s">
        <v>411</v>
      </c>
      <c r="E9" s="231" t="s">
        <v>412</v>
      </c>
      <c r="F9" s="231" t="s">
        <v>413</v>
      </c>
      <c r="G9" s="232">
        <v>900000000</v>
      </c>
      <c r="H9" s="229">
        <v>900000000</v>
      </c>
    </row>
    <row r="10" spans="1:16" ht="38.25" customHeight="1" x14ac:dyDescent="0.25">
      <c r="A10" s="230" t="s">
        <v>374</v>
      </c>
      <c r="B10" s="231" t="s">
        <v>376</v>
      </c>
      <c r="C10" s="231" t="s">
        <v>408</v>
      </c>
      <c r="D10" s="231" t="s">
        <v>414</v>
      </c>
      <c r="E10" s="231" t="s">
        <v>409</v>
      </c>
      <c r="F10" s="231" t="s">
        <v>415</v>
      </c>
      <c r="G10" s="232">
        <v>250000000</v>
      </c>
      <c r="H10" s="229">
        <v>250000000</v>
      </c>
    </row>
    <row r="11" spans="1:16" ht="38.25" customHeight="1" x14ac:dyDescent="0.25">
      <c r="A11" s="230" t="s">
        <v>395</v>
      </c>
      <c r="B11" s="231" t="s">
        <v>275</v>
      </c>
      <c r="C11" s="231" t="s">
        <v>396</v>
      </c>
      <c r="D11" s="231" t="s">
        <v>390</v>
      </c>
      <c r="E11" s="231" t="s">
        <v>397</v>
      </c>
      <c r="F11" s="231" t="s">
        <v>392</v>
      </c>
      <c r="G11" s="232">
        <v>218138000</v>
      </c>
      <c r="H11" s="229">
        <v>218138000</v>
      </c>
      <c r="I11" s="233"/>
      <c r="J11" s="233"/>
    </row>
    <row r="12" spans="1:16" ht="38.25" customHeight="1" x14ac:dyDescent="0.25">
      <c r="A12" s="230" t="s">
        <v>388</v>
      </c>
      <c r="B12" s="231" t="s">
        <v>275</v>
      </c>
      <c r="C12" s="231" t="s">
        <v>389</v>
      </c>
      <c r="D12" s="231" t="s">
        <v>390</v>
      </c>
      <c r="E12" s="231" t="s">
        <v>391</v>
      </c>
      <c r="F12" s="231" t="s">
        <v>392</v>
      </c>
      <c r="G12" s="232">
        <v>692955973</v>
      </c>
      <c r="H12" s="229">
        <v>692955972</v>
      </c>
      <c r="I12" s="233"/>
      <c r="J12" s="233"/>
    </row>
    <row r="13" spans="1:16" ht="38.25" customHeight="1" x14ac:dyDescent="0.25">
      <c r="A13" s="230" t="s">
        <v>421</v>
      </c>
      <c r="B13" s="231" t="s">
        <v>275</v>
      </c>
      <c r="C13" s="231" t="s">
        <v>398</v>
      </c>
      <c r="D13" s="231" t="s">
        <v>390</v>
      </c>
      <c r="E13" s="231" t="s">
        <v>399</v>
      </c>
      <c r="F13" s="231" t="s">
        <v>392</v>
      </c>
      <c r="G13" s="232">
        <v>674283500</v>
      </c>
      <c r="H13" s="229">
        <v>674283500</v>
      </c>
      <c r="I13" s="233"/>
      <c r="J13" s="233"/>
    </row>
    <row r="14" spans="1:16" ht="38.25" customHeight="1" x14ac:dyDescent="0.25">
      <c r="A14" s="234" t="s">
        <v>365</v>
      </c>
      <c r="B14" s="235" t="s">
        <v>364</v>
      </c>
      <c r="C14" s="235" t="s">
        <v>404</v>
      </c>
      <c r="D14" s="235" t="s">
        <v>405</v>
      </c>
      <c r="E14" s="235" t="s">
        <v>406</v>
      </c>
      <c r="F14" s="235" t="s">
        <v>407</v>
      </c>
      <c r="G14" s="236">
        <v>750000000</v>
      </c>
      <c r="H14" s="229">
        <v>750000000</v>
      </c>
      <c r="I14" s="233"/>
      <c r="J14" s="233"/>
    </row>
    <row r="15" spans="1:16" s="237" customFormat="1" ht="114.75" customHeight="1" x14ac:dyDescent="0.3">
      <c r="A15" s="234" t="s">
        <v>449</v>
      </c>
      <c r="B15" s="235" t="s">
        <v>282</v>
      </c>
      <c r="C15" s="235" t="s">
        <v>404</v>
      </c>
      <c r="D15" s="235" t="s">
        <v>400</v>
      </c>
      <c r="E15" s="235" t="s">
        <v>406</v>
      </c>
      <c r="F15" s="231" t="s">
        <v>401</v>
      </c>
      <c r="G15" s="236">
        <v>150000000</v>
      </c>
      <c r="H15" s="229">
        <v>150000000</v>
      </c>
    </row>
    <row r="16" spans="1:16" s="237" customFormat="1" ht="114.75" customHeight="1" x14ac:dyDescent="0.3">
      <c r="A16" s="234" t="s">
        <v>450</v>
      </c>
      <c r="B16" s="231" t="s">
        <v>275</v>
      </c>
      <c r="C16" s="231" t="s">
        <v>402</v>
      </c>
      <c r="D16" s="231" t="s">
        <v>390</v>
      </c>
      <c r="E16" s="231" t="s">
        <v>403</v>
      </c>
      <c r="F16" s="231" t="s">
        <v>392</v>
      </c>
      <c r="G16" s="236">
        <v>500000000</v>
      </c>
      <c r="H16" s="229">
        <v>500000000</v>
      </c>
    </row>
    <row r="17" spans="1:8" s="237" customFormat="1" ht="114.75" customHeight="1" x14ac:dyDescent="0.3">
      <c r="A17" s="234" t="s">
        <v>451</v>
      </c>
      <c r="B17" s="231" t="s">
        <v>275</v>
      </c>
      <c r="C17" s="231" t="s">
        <v>398</v>
      </c>
      <c r="D17" s="231" t="s">
        <v>390</v>
      </c>
      <c r="E17" s="231" t="s">
        <v>399</v>
      </c>
      <c r="F17" s="231" t="s">
        <v>392</v>
      </c>
      <c r="G17" s="236">
        <v>1283781000</v>
      </c>
      <c r="H17" s="229">
        <v>1283781000</v>
      </c>
    </row>
    <row r="18" spans="1:8" ht="73.5" customHeight="1" thickBot="1" x14ac:dyDescent="0.3">
      <c r="A18" s="415" t="s">
        <v>416</v>
      </c>
      <c r="B18" s="416"/>
      <c r="C18" s="416" t="s">
        <v>417</v>
      </c>
      <c r="D18" s="416"/>
      <c r="E18" s="416" t="s">
        <v>418</v>
      </c>
      <c r="F18" s="416"/>
      <c r="G18" s="238"/>
      <c r="H18" s="239"/>
    </row>
    <row r="19" spans="1:8" ht="35.1" customHeight="1" x14ac:dyDescent="0.25"/>
    <row r="20" spans="1:8" ht="27.75" customHeight="1" x14ac:dyDescent="0.25"/>
    <row r="21" spans="1:8" ht="54.75" customHeight="1" x14ac:dyDescent="0.25"/>
  </sheetData>
  <mergeCells count="12">
    <mergeCell ref="A18:B18"/>
    <mergeCell ref="C18:D18"/>
    <mergeCell ref="E18:F18"/>
    <mergeCell ref="A5:B5"/>
    <mergeCell ref="C5:D5"/>
    <mergeCell ref="E5:F5"/>
    <mergeCell ref="A2:B2"/>
    <mergeCell ref="C2:D2"/>
    <mergeCell ref="E2:F2"/>
    <mergeCell ref="A4:B4"/>
    <mergeCell ref="C4:D4"/>
    <mergeCell ref="E4:F4"/>
  </mergeCells>
  <printOptions horizontalCentered="1"/>
  <pageMargins left="0.5" right="0.5" top="0.25" bottom="0.25" header="7.0000000000000007E-2" footer="0.16"/>
  <pageSetup paperSize="9" scale="40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հունվար</vt:lpstr>
      <vt:lpstr>փետրվար</vt:lpstr>
      <vt:lpstr>մարտ</vt:lpstr>
      <vt:lpstr>բյուջետային երաշխիք</vt:lpstr>
      <vt:lpstr>Government Guarantees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Sargsyan</dc:creator>
  <cp:lastModifiedBy>Lusine Grigoryan</cp:lastModifiedBy>
  <cp:lastPrinted>2023-08-01T13:36:12Z</cp:lastPrinted>
  <dcterms:created xsi:type="dcterms:W3CDTF">2021-02-19T11:33:22Z</dcterms:created>
  <dcterms:modified xsi:type="dcterms:W3CDTF">2024-07-18T07:53:50Z</dcterms:modified>
</cp:coreProperties>
</file>