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15" windowWidth="15135" windowHeight="6105" activeTab="0"/>
  </bookViews>
  <sheets>
    <sheet name="Բյուջե-ամփոփ" sheetId="1" r:id="rId1"/>
  </sheets>
  <definedNames>
    <definedName name="_xlnm.Print_Area" localSheetId="0">'Բյուջե-ամփոփ'!$A$1:$Q$47</definedName>
  </definedNames>
  <calcPr fullCalcOnLoad="1"/>
</workbook>
</file>

<file path=xl/sharedStrings.xml><?xml version="1.0" encoding="utf-8"?>
<sst xmlns="http://schemas.openxmlformats.org/spreadsheetml/2006/main" count="145" uniqueCount="123">
  <si>
    <t xml:space="preserve"> 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</si>
  <si>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</si>
  <si>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</si>
  <si>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</si>
  <si>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</si>
  <si>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</si>
  <si>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</si>
  <si>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</si>
  <si>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</si>
  <si>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</si>
  <si>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</si>
  <si>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</si>
  <si>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</si>
  <si>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</si>
  <si>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Տեղեկանք</t>
  </si>
  <si>
    <t>ԴՐԱՄԱՇՆՈՐՀԸ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</si>
  <si>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</si>
  <si>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</si>
  <si>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</si>
  <si>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</si>
  <si>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</si>
  <si>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</si>
  <si>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</si>
  <si>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</si>
  <si>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Ընդամենը չկապակցված տրանսֆերտներ, այդ թվում`</t>
  </si>
  <si>
    <t>1</t>
  </si>
  <si>
    <t>2</t>
  </si>
  <si>
    <t>Ընդամենը կապակցված տրանսֆերտներ, այդ թվում`</t>
  </si>
  <si>
    <t>4</t>
  </si>
  <si>
    <t>17</t>
  </si>
  <si>
    <t>18</t>
  </si>
  <si>
    <t xml:space="preserve"> ԱՄՆ կառավարության աջակցությամբ իրականացվող ՙՀազարամյակի մարտահրավեր՚ դրամաշնորհային ծրագիր </t>
  </si>
  <si>
    <t>հազ. դրամ</t>
  </si>
  <si>
    <t>2017 թվականի պետական բյուջեով նախատեսված Հայաստանի Հանրապետությանը տրամադրված դրամաշնորհների վերաբերյալ 31.03.2017թ. դրությամբ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</si>
  <si>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ծրագիր</t>
  </si>
  <si>
    <t>Դանիայի թագավորության աջակցությամբ իրականացվող  գյուղական կարողությունների ստեղծում  դրամաշնորհային ծրագիր</t>
  </si>
  <si>
    <t xml:space="preserve"> «Աջակցություն Հայաստանի Հանրապետության Կառավարությանը՝ ուղղված ԵՀՔ գործողությունների ծրագրի իրականացմանը և ապագա Ասոցիացման համաձայնագրի գծով նախապատրաստական աշխատանքներին փուլ 2» ֆինանսավորման համաձայնագրի» թիվ 1 լրացում </t>
  </si>
  <si>
    <t>«Աջակցություն Հայաստանում մարդու իրավուքների պաշտպանությանը» ԵՄ բյուջետային աջակցության ծրագրի Ֆինանսավորման համաձայնագրի նախագծի վերաբերյալ</t>
  </si>
  <si>
    <t>Գլոբալ էկոլոգիական հիմնադրամի աջակցությամբ իրականացվող «Հայաստանում արտադրողականության աճին ուղղված հողերի կայուն կառավարում» դրամաշնորհային ծրագիր</t>
  </si>
  <si>
    <t xml:space="preserve">Գյուղատնտեսության զարգացման միջազգային հիմնադրամի աջակցությամբիրականացվող &lt;&lt;Ենթակառուցվածքների և գյուղական ֆինանսավորման աջակցություն&gt;&gt; դրամաշնորհային ծրագիր </t>
  </si>
  <si>
    <t xml:space="preserve"> ՌԴ աջակցությամբ իրականացվող Հայկական ԱԷԿ-ի N 2 էներգաբլոկի շահագործման նախագծային ժամկետի երկարացման դրամաշնորհային ծրագիր</t>
  </si>
  <si>
    <t xml:space="preserve"> Համաշխարհային բանկի աջակցությամբ իրականացվող Երկրաջերմային հետախուզական հորատման դրամաշնորհային ծրագիր</t>
  </si>
  <si>
    <t xml:space="preserve"> Համաշխարհային բանկի աջակցությամբ իրականացվող դրամաշնորհ արդյունաբերական մասշտաբի արևային էներգիայի ծրագրի նախապատրաստման համար դրամաշնորհային ծրագիր</t>
  </si>
  <si>
    <t>Եվրոպական միության Հարևանության Ներդրումային գործիքի աջակցությամբ իրականացվող «Կովկասյան էլեկտրահաղորդման ցանց I (Հայաստան-Վրաստան հաղորդիչ գիծ/ենթակայաններ)» դրամաշնորհային ծրագիր</t>
  </si>
  <si>
    <t xml:space="preserve"> Վերակառուցման և զարգացման եվրոպական բանկի աջակցությամբ իրականացվող ՀՀ պետական սահմանի Բագրատաշեն անցման կետի կամրջի վերակառուցման ծրագրի շրջանակներում խորհրդատվական ծառայությունների ձեռքբերման դրամաշնորհային ծրագիր</t>
  </si>
  <si>
    <t xml:space="preserve"> 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</si>
  <si>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>Արևելյան Եվրոպայի էներգախնայողության և բնապահպանական գործընկերության ֆոնդի աջակցությամբ իրականացվող Երևանի մետրոպոլիտենի վերակառուցման երրորդ դրամաշնորհային ծրագիր  (Երևան համայնքի ղեկավարին պետության կողմից պատվիրակված լիազորություն)</t>
  </si>
  <si>
    <t>Եվրոպական միության աջակցությամբ իրականացվող Հայաստանի տարածքային զարգացման դրամաշնորհային ծրագիր</t>
  </si>
  <si>
    <t xml:space="preserve">Համաշխարհային բանկի աջակցությամբ իրականացվող Սոցիալական ներդրումների և տեղական զարգացման դրամաշնորհային ծրագիր </t>
  </si>
  <si>
    <t xml:space="preserve"> Վերակառուցման և զարգացման եվրոպական բանկի աջակցությամբ իրականացվող «Կոտայքի մարզի կոշտ թափոնների կառավարման» դրամաշնորհային ծրագիր</t>
  </si>
  <si>
    <t>Վերակառուցման և զարգացման եվրոպական բանկի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</si>
  <si>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 xml:space="preserve">  Եվրոպական միության հարևանության ներդրումային գործիքի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</si>
  <si>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</si>
  <si>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</si>
  <si>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</si>
  <si>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</si>
  <si>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</si>
  <si>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</si>
  <si>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</si>
  <si>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</si>
  <si>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</si>
  <si>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</si>
  <si>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</si>
  <si>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</si>
  <si>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 xml:space="preserve"> Եվրոպական միության հարևանության ներդրումային ծրագրի աջակցությամբ իրականացվող Երևանի ջրամատակարարման բարելավման դրամաշնորհային  ծրագիր (Երևան համայնքի ղեկավարին պետության կողմից պատվիրակված լիազորություն)</t>
  </si>
  <si>
    <t xml:space="preserve"> Վերակառուցման և զարգացման եվրոպական բանկի աջակցությամբ իրականացվող Երևանի ջրամատակարարման բարելավման դրամաշնորհային  ծրագիր (Երևան համայնքի ղեկավարին պետության կողմից պատվիրակված լիազորություն)</t>
  </si>
  <si>
    <t>Արևելյան Եվրոպայի էներգախնայողության և բնապահպանական գործընկերության ֆոնդի աջակցությամբ իրականացվող &lt;&lt;Երևանի քաղաքային լուսավորության&gt;&gt; դրամաշնորհային ծրագիր (Երևան համայնքի ղեկավարին պետության կողմից պատվիրակված լիազորություն)</t>
  </si>
  <si>
    <t>Վերակառուցման և զարգացման եվրոպական բանկի աջակցությամբ իրականացվող «Երևանի քաղաքային լուսավորության» դրամաշնորհային ծրագիր (Երևան համայնքի ղեկավարին պետության կողմից պատվիրակված լիազորություն)</t>
  </si>
  <si>
    <t xml:space="preserve"> ԱՄՆ Հիվանդությունների կանխարգելման և վերահսկման կենտրոնի աջակցությամբ իրականացվող Սեզոնային գրիպի համաճարակաբանական ցանցի հիմնման և արձագանքման դրամաշնորհային ծրագիր</t>
  </si>
  <si>
    <t xml:space="preserve"> Համաշխարհային բանկի աջակցությամբ իրականացվող Ոչ վարակիչ հիվանդությունների կանխարգելման և վերահսկման դրամաշնորհային ծրագիր</t>
  </si>
  <si>
    <t>Գլոբալ հիմնադրամի աջակցությամբ իրականացվող &lt;&lt;Հայաստանի Հանրապետությունում տուբերկուլյոզի դեմ պայքարի ուժեղացում&gt;&gt; դրամաշնորհային ծրագիր</t>
  </si>
  <si>
    <t xml:space="preserve"> Գլոբալ հիմնադրամի աջակցությամբ իրականացվող &lt;&lt;Հայաստանի Հանրապետությունում ՄԻԱՎ/ՁԻԱՀ-ի դեմ պայքարի ազգային ծրագրին աջակցություն&gt;&gt; դրամաշնորհային ծրագիր</t>
  </si>
  <si>
    <t>Գերմանիայի զարգացման վարկերի բանկի աջակցությամբ իրականացվող «Հայջրմուղկոյուղի», «Շիրակ-ջրմուղկոյուղի», «Լոռի-ջրմուղկոյուղի» և «Նոր Ակունք» ՓԲԸ-ների մասնավոր կառավարման շարունակության ապահովում դրամաշնորհային ծրագիր</t>
  </si>
  <si>
    <t>Եվրոպական միության Հարևանության ներդրումային ծրագրի աջակցությամբ իրականացվող ՀՀ պետական սահմանի «Բագրատածեն»,«Բավրա» և «Գգոավան» անցման կետերի արդիականացման դրամաշնորհային ծրագիր</t>
  </si>
  <si>
    <t>Հայաստանում տուբերկուլյոզի դեմ պայքարի, մոր և մանկան առողջության և ընտանիքի պլանավորման  դրամաշնորհային ծրագիր</t>
  </si>
  <si>
    <t>1* ԱՄՆ Միջազգային զարգացման գործակալության աջակցությամբ իրականացվող Տեղական ինքնակառավարման բարեփոխումների դրամաշնորհային ծրագիր</t>
  </si>
  <si>
    <t>30</t>
  </si>
  <si>
    <t>* ՀՀ կառավարության  16.02.17 թիվ 129-Ն որոշում</t>
  </si>
  <si>
    <t>** ՀՀ կառավարության  23.02.17 թիվ 163-Ն որոշում</t>
  </si>
  <si>
    <t>31</t>
  </si>
  <si>
    <t>32</t>
  </si>
  <si>
    <t>*** ՀՀ կառավարության  02.03.17 թիվ 196-Ն որոշում</t>
  </si>
  <si>
    <t>4* Համաշխարհային բանկի աջակցությամբ իրականացվող Հայաստանի կենսապայմանների ամբողջացված հետազոտության ընդլայնման դրամաշնորհային ծրագիր</t>
  </si>
  <si>
    <t>**** ՀՀ կառավարության  02.03.17 թիվ 197-Ն որոշում</t>
  </si>
  <si>
    <t>35</t>
  </si>
  <si>
    <t xml:space="preserve">5* Գերմանիայի զարգացման վարկերի բանկի (KfW) կողմից տրամադրվող «Կովկասի պահպանվող տարածքների աջակցության ծրագիր Հայաստան (Էկոտարածաշրջանային ծրագիր-Հայաստան, 3-րդ փուլ)»  դրամաշնորհային ծրագիր                  </t>
  </si>
  <si>
    <t>5* ՀՀ կառավարության  02.03.17 թիվ 221-Ն որոշում</t>
  </si>
  <si>
    <t>36</t>
  </si>
  <si>
    <t>6* Սոցիալական ոլորտի բարեփոխումների» դրամաշնորհային ծրագիր</t>
  </si>
  <si>
    <t>6* ՀՀ կառավարության  23.03.17 թիվ 301-Ն որոշում</t>
  </si>
  <si>
    <t>7* ՀՀ կառավարության  30.03.17 թիվ 307-Ն որոշում</t>
  </si>
  <si>
    <t>2* Հայաստանի Հանրապետության տարածքային կառավարման և զարգացման նախարարության միգրացիոն պետական ծառայության և Նիդերլանդ-ների  անվտանգության և արդարադատության նախարարության միջև կնքված համաձայնագրի (Նիդերլանդներից վերադարձող Հայաստանի քաղաքա-ցիներին վերաինտեգրման օգնության շրջանակներում խորհրդատվության և ուղղորդման ծառայության մատուցման  մասին) դրամաշնորհային ծրագիր</t>
  </si>
  <si>
    <t xml:space="preserve">3* Վերակառուցման և զարգացման եվրոպական բանկի աջակցությամբ իրականացվող Կոտայքի և Գեղարքունիքի մարզերի կոշտ թափոնների կառավարման խորհրդատվության համար դրամաշնորհային ծրագիր </t>
  </si>
  <si>
    <t>4* Համաշխարհային բանկի աջակցությամբ իրականացվող Տեղական տնտեսության  ենթակառուցվածքի զարգացման դրամաշնորհային ծրագիր</t>
  </si>
  <si>
    <t>33</t>
  </si>
  <si>
    <t>34</t>
  </si>
  <si>
    <t>Ընդամենը արտաբյուջետային տրանսֆերտներ, այդ թվում`</t>
  </si>
  <si>
    <t xml:space="preserve">2017թ  </t>
  </si>
  <si>
    <t>Դանիայի թագավորության աջակցությամբ իրականացվող  գյուղական կարողությունների ստեղծում  2դրամաշնորհային ծրագիր</t>
  </si>
  <si>
    <t>37</t>
  </si>
  <si>
    <t>38</t>
  </si>
  <si>
    <t>8*Վերակառուցման և զարգացման եվրոպական բանկ Հայաստանի ջրային ներդրումային ծրագրի անցումային խորդհատուի ընտրություն</t>
  </si>
  <si>
    <t>8* ՀՀ կառավարության  01.06.17 թիվ 596-Ն որոշում</t>
  </si>
  <si>
    <t>ԱՄՆ դոլար   475.36</t>
  </si>
  <si>
    <t>Եվրո            522.66</t>
  </si>
  <si>
    <t>9* ՀՀ կառավարության  20.07.17 թիվ 849-Ն որոշում</t>
  </si>
  <si>
    <t>8* Եվրոպական ներդրումային բանկի աջակցությամբ իրականացվող Հյուսիս-հարավ տրանսպորտային միջանցքի զարգացման դրամաշնորհային ծրագիր (Տրանշ 3)</t>
  </si>
  <si>
    <t>6* Հայաստանի ժողովրդագրության և առողջության հարցերի հետազոտություն</t>
  </si>
  <si>
    <t>39</t>
  </si>
  <si>
    <t>8* Համաշխարհային բանկի աջակցությամբ Հայաստանում Մաստարայի ջրամբարի նախապատրաստման ծրագիր</t>
  </si>
  <si>
    <t>40</t>
  </si>
  <si>
    <t>11*Գեղարդի վանական համալիրի ժայռափոր եկեղեցիների և ջրահեռացման համակարգի պահպանության և ամրակայման մեթոդաբանությունները» թեմայով խորհրդաժողով</t>
  </si>
  <si>
    <t>41</t>
  </si>
  <si>
    <t>12* ՀՀ կառավարության  12.10.17 թիվ 1278-Ն որոշում</t>
  </si>
  <si>
    <t xml:space="preserve">10*ՌԴ-ի կառավարության աջակցությամբ իրականացվող ԵՏՄ-ի անդամակցության շրջանակներում ՀՀ-ին տեխնիկական և ֆինանսական  աջակցություն ցուցաբերելու դրամաշնորհային ծրագիր </t>
  </si>
  <si>
    <t>10* ՀՀ կառավարության  28.09.17 թիվ 1173-Ն որոշում</t>
  </si>
  <si>
    <t>11* ՀՀ կառավարության  05.10.17 թիվ 1230-Ն որոշում</t>
  </si>
  <si>
    <t>6*Էլեկտրոնային մոնիթորինգի սարքավորումների փորձարկում քրեակատարողական հիմնարկների պիլոտային ստորաբաժանումներում դրամաշնորհային ծրագիր</t>
  </si>
  <si>
    <t>6*«Հանքարդյունաբերության ոլորտի թափանցիկության բարելավում» դրամաշնորհային ծրագիր</t>
  </si>
  <si>
    <t>11* Օժանդակություն Հայաստանի հակակոռուպցիոն ռազմավարության իրականացմանը դրամաշնորհային ծրագիր</t>
  </si>
  <si>
    <t>2017 թվականի պետական բյուջեով նախատեսված Հայաստանի Հանրապետությանը տրամադրված դրամաշնորհների վերաբերյալ 31.12.2017թ. դրությամբ</t>
  </si>
  <si>
    <t xml:space="preserve"> Գերմանիայի զարգացման վարկերի բանկի  և Եվրոպական միության Հարևանության ներդրումային գործիքի աջակցությամբ իրականացվող ջրամատակարարման և ջրահեռացման ենթակառուցվածքների վերականգնման դրամաշնորհային  ծրագրի 3 փուլ</t>
  </si>
  <si>
    <t xml:space="preserve">«Աջակցություն գյուղատնտեսության և գյուղի զարգացմանը-Հայաստանի Հանրապետությունում Գյուղատնտեսության և գյուղի զարգացման եվրոպական հարևանության  ծրագիր»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</si>
</sst>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_(&quot;$&quot;* #,##0.0_);_(&quot;$&quot;* \(#,##0.0\);_(&quot;$&quot;* &quot;-&quot;??_);_(@_)"/>
    <numFmt numFmtId="174" formatCode="_(* #,##0.0_);_(* \(#,##0.0\);_(* &quot;-&quot;?_);_(@_)"/>
    <numFmt numFmtId="175" formatCode="_-* #,##0.00\ [$€-40B]_-;\-* #,##0.00\ [$€-40B]_-;_-* &quot;-&quot;??\ [$€-40B]_-;_-@_-"/>
    <numFmt numFmtId="176" formatCode="_ * #,##0.00_)\ [$€-1]_ ;_ * \(#,##0.00\)\ [$€-1]_ ;_ * &quot;-&quot;??_)\ [$€-1]_ ;_ @_ "/>
    <numFmt numFmtId="177" formatCode="_ * #,##0.0_)\ [$€-1]_ ;_ * \(#,##0.0\)\ [$€-1]_ ;_ * &quot;-&quot;??_)\ [$€-1]_ ;_ @_ "/>
    <numFmt numFmtId="178" formatCode="_-* #,##0.00_р_._-;\-* #,##0.00_р_._-;_-* &quot;-&quot;??_р_._-;_-@_-"/>
    <numFmt numFmtId="179" formatCode="_(* #,##0_);_(* \(#,##0\);_(* &quot;-&quot;??_);_(@_)"/>
    <numFmt numFmtId="180" formatCode="#,##0.0"/>
    <numFmt numFmtId="181" formatCode="[$-409]dddd\,\ mmmm\ dd\,\ yyyy"/>
    <numFmt numFmtId="182" formatCode="mm/dd/yy;@"/>
    <numFmt numFmtId="183" formatCode="_(* #,##0.00_);_(* \(#,##0.00\);_(* &quot;-&quot;?_);_(@_)"/>
    <numFmt numFmtId="184" formatCode="_([$€-2]\ * #,##0.00_);_([$€-2]\ * \(#,##0.00\);_([$€-2]\ * &quot;-&quot;??_);_(@_)"/>
    <numFmt numFmtId="185" formatCode="_-[$£-809]* #,##0.00_-;\-[$£-809]* #,##0.00_-;_-[$£-809]* &quot;-&quot;??_-;_-@_-"/>
    <numFmt numFmtId="186" formatCode="_ [$¥-804]* #,##0.00_ ;_ [$¥-804]* \-#,##0.00_ ;_ [$¥-804]* &quot;-&quot;??_ ;_ @_ "/>
    <numFmt numFmtId="187" formatCode="_-* #,##0.00\ [$€-425]_-;\-* #,##0.00\ [$€-425]_-;_-* &quot;-&quot;??\ [$€-425]_-;_-@_-"/>
    <numFmt numFmtId="188" formatCode="_-[$€-1809]* #,##0.00_-;\-[$€-1809]* #,##0.00_-;_-[$€-1809]* &quot;-&quot;??_-;_-@_-"/>
    <numFmt numFmtId="189" formatCode="_([$$-409]* #,##0.00_);_([$$-409]* \(#,##0.00\);_([$$-409]* &quot;-&quot;??_);_(@_)"/>
    <numFmt numFmtId="190" formatCode="_([$€-2]\ * #,##0.000_);_([$€-2]\ * \(#,##0.000\);_([$€-2]\ * &quot;-&quot;??_);_(@_)"/>
    <numFmt numFmtId="191" formatCode="[$-409]h:mm:ss\ AM/PM"/>
    <numFmt numFmtId="192" formatCode="_(* #,##0.000_);_(* \(#,##0.000\);_(* &quot;-&quot;?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4"/>
      <name val="GHEA Grapalat"/>
      <family val="3"/>
    </font>
    <font>
      <b/>
      <sz val="14"/>
      <name val="GHEA Grapalat"/>
      <family val="3"/>
    </font>
    <font>
      <sz val="13"/>
      <name val="GHEA Grapalat"/>
      <family val="3"/>
    </font>
    <font>
      <sz val="10"/>
      <name val="Arial LatArm"/>
      <family val="2"/>
    </font>
    <font>
      <b/>
      <sz val="13"/>
      <name val="GHEA Grapalat"/>
      <family val="3"/>
    </font>
    <font>
      <sz val="12"/>
      <name val="GHEA Grapalat"/>
      <family val="3"/>
    </font>
    <font>
      <sz val="10"/>
      <name val="Arial Armenian"/>
      <family val="2"/>
    </font>
    <font>
      <sz val="10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9" fontId="2" fillId="33" borderId="0" xfId="42" applyNumberFormat="1" applyFont="1" applyFill="1" applyBorder="1" applyAlignment="1">
      <alignment/>
    </xf>
    <xf numFmtId="43" fontId="2" fillId="33" borderId="0" xfId="0" applyNumberFormat="1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33" borderId="10" xfId="57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vertical="center"/>
      <protection/>
    </xf>
    <xf numFmtId="43" fontId="2" fillId="33" borderId="0" xfId="42" applyFont="1" applyFill="1" applyBorder="1" applyAlignment="1">
      <alignment/>
    </xf>
    <xf numFmtId="174" fontId="2" fillId="33" borderId="0" xfId="0" applyNumberFormat="1" applyFont="1" applyFill="1" applyBorder="1" applyAlignment="1">
      <alignment vertical="center" wrapText="1"/>
    </xf>
    <xf numFmtId="183" fontId="3" fillId="33" borderId="10" xfId="57" applyNumberFormat="1" applyFont="1" applyFill="1" applyBorder="1" applyAlignment="1">
      <alignment vertical="center"/>
      <protection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11" xfId="57" applyFont="1" applyFill="1" applyBorder="1" applyAlignment="1">
      <alignment horizontal="center" vertical="center"/>
      <protection/>
    </xf>
    <xf numFmtId="0" fontId="2" fillId="33" borderId="0" xfId="56" applyFont="1" applyFill="1" applyBorder="1" applyAlignment="1">
      <alignment vertical="center"/>
      <protection/>
    </xf>
    <xf numFmtId="172" fontId="2" fillId="33" borderId="10" xfId="1" applyNumberFormat="1" applyFont="1" applyFill="1" applyBorder="1" applyAlignment="1">
      <alignment horizontal="left" vertical="center" wrapText="1"/>
    </xf>
    <xf numFmtId="174" fontId="7" fillId="33" borderId="10" xfId="57" applyNumberFormat="1" applyFont="1" applyFill="1" applyBorder="1" applyAlignment="1">
      <alignment horizontal="center" vertical="center"/>
      <protection/>
    </xf>
    <xf numFmtId="174" fontId="7" fillId="33" borderId="10" xfId="57" applyNumberFormat="1" applyFont="1" applyFill="1" applyBorder="1" applyAlignment="1">
      <alignment horizontal="right" vertical="center"/>
      <protection/>
    </xf>
    <xf numFmtId="0" fontId="7" fillId="33" borderId="0" xfId="0" applyFont="1" applyFill="1" applyBorder="1" applyAlignment="1">
      <alignment/>
    </xf>
    <xf numFmtId="183" fontId="2" fillId="33" borderId="10" xfId="57" applyNumberFormat="1" applyFont="1" applyFill="1" applyBorder="1" applyAlignment="1">
      <alignment vertical="center"/>
      <protection/>
    </xf>
    <xf numFmtId="183" fontId="2" fillId="33" borderId="10" xfId="42" applyNumberFormat="1" applyFont="1" applyFill="1" applyBorder="1" applyAlignment="1">
      <alignment vertical="center"/>
    </xf>
    <xf numFmtId="183" fontId="2" fillId="33" borderId="10" xfId="42" applyNumberFormat="1" applyFont="1" applyFill="1" applyBorder="1" applyAlignment="1">
      <alignment horizontal="center" vertical="center"/>
    </xf>
    <xf numFmtId="183" fontId="2" fillId="33" borderId="11" xfId="42" applyNumberFormat="1" applyFont="1" applyFill="1" applyBorder="1" applyAlignment="1">
      <alignment horizontal="center" vertical="center"/>
    </xf>
    <xf numFmtId="0" fontId="2" fillId="33" borderId="10" xfId="55" applyFont="1" applyFill="1" applyBorder="1" applyAlignment="1">
      <alignment horizontal="left" vertical="center" wrapText="1"/>
      <protection/>
    </xf>
    <xf numFmtId="174" fontId="4" fillId="33" borderId="0" xfId="0" applyNumberFormat="1" applyFont="1" applyFill="1" applyBorder="1" applyAlignment="1">
      <alignment/>
    </xf>
    <xf numFmtId="0" fontId="6" fillId="33" borderId="0" xfId="56" applyFont="1" applyFill="1" applyBorder="1" applyAlignment="1">
      <alignment vertical="center"/>
      <protection/>
    </xf>
    <xf numFmtId="49" fontId="2" fillId="33" borderId="12" xfId="1" applyNumberFormat="1" applyFont="1" applyFill="1" applyBorder="1" applyAlignment="1">
      <alignment horizontal="center" vertical="center" wrapText="1"/>
    </xf>
    <xf numFmtId="183" fontId="3" fillId="33" borderId="13" xfId="57" applyNumberFormat="1" applyFont="1" applyFill="1" applyBorder="1" applyAlignment="1">
      <alignment vertical="center"/>
      <protection/>
    </xf>
    <xf numFmtId="183" fontId="3" fillId="33" borderId="14" xfId="57" applyNumberFormat="1" applyFont="1" applyFill="1" applyBorder="1" applyAlignment="1">
      <alignment vertical="center"/>
      <protection/>
    </xf>
    <xf numFmtId="183" fontId="3" fillId="33" borderId="0" xfId="0" applyNumberFormat="1" applyFont="1" applyFill="1" applyBorder="1" applyAlignment="1">
      <alignment horizontal="center"/>
    </xf>
    <xf numFmtId="183" fontId="3" fillId="33" borderId="11" xfId="57" applyNumberFormat="1" applyFont="1" applyFill="1" applyBorder="1" applyAlignment="1">
      <alignment vertical="center"/>
      <protection/>
    </xf>
    <xf numFmtId="49" fontId="2" fillId="33" borderId="15" xfId="1" applyNumberFormat="1" applyFont="1" applyFill="1" applyBorder="1" applyAlignment="1">
      <alignment horizontal="center" vertical="center" wrapText="1"/>
    </xf>
    <xf numFmtId="172" fontId="2" fillId="33" borderId="16" xfId="1" applyNumberFormat="1" applyFont="1" applyFill="1" applyBorder="1" applyAlignment="1">
      <alignment horizontal="left" vertical="center" wrapText="1"/>
    </xf>
    <xf numFmtId="183" fontId="2" fillId="33" borderId="16" xfId="57" applyNumberFormat="1" applyFont="1" applyFill="1" applyBorder="1" applyAlignment="1">
      <alignment vertical="center"/>
      <protection/>
    </xf>
    <xf numFmtId="183" fontId="2" fillId="33" borderId="16" xfId="42" applyNumberFormat="1" applyFont="1" applyFill="1" applyBorder="1" applyAlignment="1">
      <alignment vertical="center"/>
    </xf>
    <xf numFmtId="183" fontId="2" fillId="33" borderId="16" xfId="42" applyNumberFormat="1" applyFont="1" applyFill="1" applyBorder="1" applyAlignment="1">
      <alignment horizontal="center" vertical="center"/>
    </xf>
    <xf numFmtId="183" fontId="2" fillId="33" borderId="17" xfId="42" applyNumberFormat="1" applyFont="1" applyFill="1" applyBorder="1" applyAlignment="1">
      <alignment horizontal="center" vertical="center"/>
    </xf>
    <xf numFmtId="183" fontId="2" fillId="33" borderId="11" xfId="0" applyNumberFormat="1" applyFont="1" applyFill="1" applyBorder="1" applyAlignment="1">
      <alignment horizontal="center" vertical="center" wrapText="1"/>
    </xf>
    <xf numFmtId="183" fontId="2" fillId="33" borderId="18" xfId="42" applyNumberFormat="1" applyFont="1" applyFill="1" applyBorder="1" applyAlignment="1">
      <alignment horizontal="center" vertical="center"/>
    </xf>
    <xf numFmtId="49" fontId="2" fillId="33" borderId="19" xfId="1" applyNumberFormat="1" applyFont="1" applyFill="1" applyBorder="1" applyAlignment="1">
      <alignment horizontal="center" vertical="center" wrapText="1"/>
    </xf>
    <xf numFmtId="0" fontId="2" fillId="33" borderId="20" xfId="55" applyFont="1" applyFill="1" applyBorder="1" applyAlignment="1">
      <alignment horizontal="left" vertical="center" wrapText="1"/>
      <protection/>
    </xf>
    <xf numFmtId="183" fontId="2" fillId="33" borderId="20" xfId="57" applyNumberFormat="1" applyFont="1" applyFill="1" applyBorder="1" applyAlignment="1">
      <alignment vertical="center"/>
      <protection/>
    </xf>
    <xf numFmtId="183" fontId="2" fillId="33" borderId="20" xfId="42" applyNumberFormat="1" applyFont="1" applyFill="1" applyBorder="1" applyAlignment="1">
      <alignment vertical="center"/>
    </xf>
    <xf numFmtId="183" fontId="2" fillId="33" borderId="20" xfId="42" applyNumberFormat="1" applyFont="1" applyFill="1" applyBorder="1" applyAlignment="1">
      <alignment horizontal="center" vertical="center"/>
    </xf>
    <xf numFmtId="183" fontId="2" fillId="33" borderId="21" xfId="42" applyNumberFormat="1" applyFont="1" applyFill="1" applyBorder="1" applyAlignment="1">
      <alignment horizontal="center" vertical="center"/>
    </xf>
    <xf numFmtId="0" fontId="2" fillId="33" borderId="22" xfId="55" applyFont="1" applyFill="1" applyBorder="1" applyAlignment="1">
      <alignment horizontal="left" vertical="center" wrapText="1"/>
      <protection/>
    </xf>
    <xf numFmtId="183" fontId="2" fillId="33" borderId="22" xfId="42" applyNumberFormat="1" applyFont="1" applyFill="1" applyBorder="1" applyAlignment="1">
      <alignment vertical="center"/>
    </xf>
    <xf numFmtId="183" fontId="2" fillId="33" borderId="22" xfId="42" applyNumberFormat="1" applyFont="1" applyFill="1" applyBorder="1" applyAlignment="1">
      <alignment horizontal="center" vertical="center"/>
    </xf>
    <xf numFmtId="183" fontId="2" fillId="33" borderId="22" xfId="57" applyNumberFormat="1" applyFont="1" applyFill="1" applyBorder="1" applyAlignment="1">
      <alignment vertical="center"/>
      <protection/>
    </xf>
    <xf numFmtId="183" fontId="2" fillId="33" borderId="23" xfId="42" applyNumberFormat="1" applyFont="1" applyFill="1" applyBorder="1" applyAlignment="1">
      <alignment horizontal="center" vertical="center"/>
    </xf>
    <xf numFmtId="49" fontId="2" fillId="33" borderId="24" xfId="1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183" fontId="2" fillId="33" borderId="11" xfId="0" applyNumberFormat="1" applyFont="1" applyFill="1" applyBorder="1" applyAlignment="1">
      <alignment/>
    </xf>
    <xf numFmtId="49" fontId="2" fillId="33" borderId="10" xfId="1" applyNumberFormat="1" applyFont="1" applyFill="1" applyBorder="1" applyAlignment="1">
      <alignment horizontal="center" vertical="center" wrapText="1"/>
    </xf>
    <xf numFmtId="49" fontId="2" fillId="33" borderId="25" xfId="1" applyNumberFormat="1" applyFont="1" applyFill="1" applyBorder="1" applyAlignment="1">
      <alignment horizontal="center" vertical="center" wrapText="1"/>
    </xf>
    <xf numFmtId="183" fontId="3" fillId="33" borderId="26" xfId="57" applyNumberFormat="1" applyFont="1" applyFill="1" applyBorder="1" applyAlignment="1">
      <alignment horizontal="center" vertical="center"/>
      <protection/>
    </xf>
    <xf numFmtId="183" fontId="3" fillId="33" borderId="27" xfId="57" applyNumberFormat="1" applyFont="1" applyFill="1" applyBorder="1" applyAlignment="1">
      <alignment horizontal="center" vertical="center"/>
      <protection/>
    </xf>
    <xf numFmtId="172" fontId="2" fillId="33" borderId="22" xfId="1" applyNumberFormat="1" applyFont="1" applyFill="1" applyBorder="1" applyAlignment="1">
      <alignment horizontal="left" vertical="center" wrapText="1"/>
    </xf>
    <xf numFmtId="174" fontId="7" fillId="33" borderId="22" xfId="57" applyNumberFormat="1" applyFont="1" applyFill="1" applyBorder="1" applyAlignment="1">
      <alignment horizontal="center" vertical="center"/>
      <protection/>
    </xf>
    <xf numFmtId="174" fontId="7" fillId="33" borderId="22" xfId="57" applyNumberFormat="1" applyFont="1" applyFill="1" applyBorder="1" applyAlignment="1">
      <alignment horizontal="right" vertical="center"/>
      <protection/>
    </xf>
    <xf numFmtId="174" fontId="7" fillId="33" borderId="23" xfId="57" applyNumberFormat="1" applyFont="1" applyFill="1" applyBorder="1" applyAlignment="1">
      <alignment horizontal="right" vertical="center"/>
      <protection/>
    </xf>
    <xf numFmtId="174" fontId="7" fillId="33" borderId="16" xfId="57" applyNumberFormat="1" applyFont="1" applyFill="1" applyBorder="1" applyAlignment="1">
      <alignment horizontal="center" vertical="center"/>
      <protection/>
    </xf>
    <xf numFmtId="174" fontId="7" fillId="33" borderId="16" xfId="57" applyNumberFormat="1" applyFont="1" applyFill="1" applyBorder="1" applyAlignment="1">
      <alignment horizontal="right" vertical="center"/>
      <protection/>
    </xf>
    <xf numFmtId="174" fontId="7" fillId="33" borderId="17" xfId="57" applyNumberFormat="1" applyFont="1" applyFill="1" applyBorder="1" applyAlignment="1">
      <alignment horizontal="center" vertical="center"/>
      <protection/>
    </xf>
    <xf numFmtId="183" fontId="2" fillId="33" borderId="11" xfId="57" applyNumberFormat="1" applyFont="1" applyFill="1" applyBorder="1" applyAlignment="1">
      <alignment vertical="center"/>
      <protection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6" xfId="42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72" fontId="3" fillId="33" borderId="17" xfId="42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</cellXfs>
  <cellStyles count="51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rants quartal" xfId="55"/>
    <cellStyle name="Normal_Transfert" xfId="56"/>
    <cellStyle name="Normal_transfert-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70" zoomScaleNormal="70" zoomScalePageLayoutView="0" workbookViewId="0" topLeftCell="A4">
      <pane ySplit="8" topLeftCell="A12" activePane="bottomLeft" state="frozen"/>
      <selection pane="topLeft" activeCell="B4" sqref="B4"/>
      <selection pane="bottomLeft" activeCell="B4" sqref="B4:O4"/>
    </sheetView>
  </sheetViews>
  <sheetFormatPr defaultColWidth="9.140625" defaultRowHeight="12.75"/>
  <cols>
    <col min="1" max="1" width="5.8515625" style="1" customWidth="1"/>
    <col min="2" max="2" width="133.7109375" style="10" customWidth="1"/>
    <col min="3" max="3" width="23.8515625" style="10" customWidth="1"/>
    <col min="4" max="4" width="24.421875" style="10" bestFit="1" customWidth="1"/>
    <col min="5" max="5" width="23.8515625" style="10" customWidth="1"/>
    <col min="6" max="6" width="22.00390625" style="1" customWidth="1"/>
    <col min="7" max="7" width="22.57421875" style="1" customWidth="1"/>
    <col min="8" max="8" width="21.140625" style="1" bestFit="1" customWidth="1"/>
    <col min="9" max="9" width="22.00390625" style="1" customWidth="1"/>
    <col min="10" max="10" width="23.28125" style="1" customWidth="1"/>
    <col min="11" max="12" width="23.140625" style="1" customWidth="1"/>
    <col min="13" max="13" width="24.57421875" style="1" customWidth="1"/>
    <col min="14" max="14" width="24.140625" style="1" customWidth="1"/>
    <col min="15" max="15" width="22.421875" style="1" bestFit="1" customWidth="1"/>
    <col min="16" max="16" width="22.140625" style="1" customWidth="1"/>
    <col min="17" max="17" width="21.8515625" style="1" customWidth="1"/>
    <col min="18" max="18" width="20.00390625" style="1" hidden="1" customWidth="1"/>
    <col min="19" max="19" width="19.57421875" style="1" customWidth="1"/>
    <col min="20" max="16384" width="9.140625" style="1" customWidth="1"/>
  </cols>
  <sheetData>
    <row r="1" spans="1:17" ht="20.25">
      <c r="A1" s="3" t="s">
        <v>0</v>
      </c>
      <c r="B1" s="68" t="s">
        <v>14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54"/>
      <c r="Q1" s="14"/>
    </row>
    <row r="2" spans="1:17" ht="20.25">
      <c r="A2" s="3"/>
      <c r="B2" s="68" t="s">
        <v>33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54"/>
      <c r="Q2" s="14"/>
    </row>
    <row r="3" spans="1:17" ht="20.25">
      <c r="A3" s="3"/>
      <c r="B3" s="54"/>
      <c r="C3" s="54"/>
      <c r="D3" s="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4"/>
    </row>
    <row r="4" spans="1:17" ht="20.25">
      <c r="A4" s="3"/>
      <c r="B4" s="68" t="s">
        <v>120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54"/>
      <c r="Q4" s="14"/>
    </row>
    <row r="5" spans="1:17" ht="20.25">
      <c r="A5" s="3"/>
      <c r="B5" s="54"/>
      <c r="C5" s="54"/>
      <c r="D5" s="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14"/>
    </row>
    <row r="6" spans="1:17" ht="20.25">
      <c r="A6" s="3"/>
      <c r="B6" s="54"/>
      <c r="C6" s="54"/>
      <c r="D6" s="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14"/>
    </row>
    <row r="7" spans="1:17" ht="21" thickBot="1">
      <c r="A7" s="3"/>
      <c r="B7" s="3"/>
      <c r="C7" s="32"/>
      <c r="D7" s="17"/>
      <c r="E7" s="5"/>
      <c r="F7" s="6"/>
      <c r="G7" s="6" t="s">
        <v>0</v>
      </c>
      <c r="H7" s="3"/>
      <c r="I7" s="11"/>
      <c r="J7" s="6"/>
      <c r="K7" s="7"/>
      <c r="L7" s="7"/>
      <c r="M7" s="3"/>
      <c r="N7" s="3"/>
      <c r="O7" s="12"/>
      <c r="P7" s="8"/>
      <c r="Q7" s="15" t="s">
        <v>32</v>
      </c>
    </row>
    <row r="8" spans="1:17" ht="20.25">
      <c r="A8" s="69" t="s">
        <v>15</v>
      </c>
      <c r="B8" s="70"/>
      <c r="C8" s="73" t="s">
        <v>97</v>
      </c>
      <c r="D8" s="73"/>
      <c r="E8" s="73"/>
      <c r="F8" s="73" t="s">
        <v>16</v>
      </c>
      <c r="G8" s="73"/>
      <c r="H8" s="73"/>
      <c r="I8" s="73" t="s">
        <v>17</v>
      </c>
      <c r="J8" s="73"/>
      <c r="K8" s="73"/>
      <c r="L8" s="73" t="s">
        <v>18</v>
      </c>
      <c r="M8" s="73"/>
      <c r="N8" s="73"/>
      <c r="O8" s="73" t="s">
        <v>19</v>
      </c>
      <c r="P8" s="73"/>
      <c r="Q8" s="76"/>
    </row>
    <row r="9" spans="1:17" ht="20.25">
      <c r="A9" s="71"/>
      <c r="B9" s="72"/>
      <c r="C9" s="9" t="s">
        <v>20</v>
      </c>
      <c r="D9" s="9" t="s">
        <v>21</v>
      </c>
      <c r="E9" s="9" t="s">
        <v>22</v>
      </c>
      <c r="F9" s="9" t="s">
        <v>20</v>
      </c>
      <c r="G9" s="9" t="s">
        <v>21</v>
      </c>
      <c r="H9" s="9" t="s">
        <v>22</v>
      </c>
      <c r="I9" s="9" t="s">
        <v>20</v>
      </c>
      <c r="J9" s="9" t="s">
        <v>21</v>
      </c>
      <c r="K9" s="9" t="s">
        <v>22</v>
      </c>
      <c r="L9" s="9" t="s">
        <v>20</v>
      </c>
      <c r="M9" s="9" t="s">
        <v>21</v>
      </c>
      <c r="N9" s="9" t="s">
        <v>22</v>
      </c>
      <c r="O9" s="9" t="s">
        <v>20</v>
      </c>
      <c r="P9" s="9" t="s">
        <v>21</v>
      </c>
      <c r="Q9" s="16" t="s">
        <v>22</v>
      </c>
    </row>
    <row r="10" spans="1:17" s="2" customFormat="1" ht="20.25">
      <c r="A10" s="77" t="s">
        <v>23</v>
      </c>
      <c r="B10" s="78"/>
      <c r="C10" s="13">
        <f>C11+C15+C57</f>
        <v>31041353.699999996</v>
      </c>
      <c r="D10" s="13">
        <f aca="true" t="shared" si="0" ref="D10:Q10">D11+D15+D57</f>
        <v>37644759.370000005</v>
      </c>
      <c r="E10" s="13">
        <f t="shared" si="0"/>
        <v>13666781.51</v>
      </c>
      <c r="F10" s="13">
        <f t="shared" si="0"/>
        <v>6131255</v>
      </c>
      <c r="G10" s="13">
        <f t="shared" si="0"/>
        <v>6911742.7</v>
      </c>
      <c r="H10" s="13">
        <f t="shared" si="0"/>
        <v>3987948.69</v>
      </c>
      <c r="I10" s="13">
        <f t="shared" si="0"/>
        <v>4367833.399999999</v>
      </c>
      <c r="J10" s="13">
        <f t="shared" si="0"/>
        <v>5726795.6</v>
      </c>
      <c r="K10" s="13">
        <f t="shared" si="0"/>
        <v>1339225.02</v>
      </c>
      <c r="L10" s="13">
        <f t="shared" si="0"/>
        <v>7349141.2</v>
      </c>
      <c r="M10" s="13">
        <f t="shared" si="0"/>
        <v>9622862.700000001</v>
      </c>
      <c r="N10" s="13">
        <f t="shared" si="0"/>
        <v>3367875.5000000005</v>
      </c>
      <c r="O10" s="13">
        <f t="shared" si="0"/>
        <v>14732375.8</v>
      </c>
      <c r="P10" s="13">
        <f t="shared" si="0"/>
        <v>15383358.37</v>
      </c>
      <c r="Q10" s="33">
        <f t="shared" si="0"/>
        <v>4971732.3</v>
      </c>
    </row>
    <row r="11" spans="1:17" s="2" customFormat="1" ht="21" thickBot="1">
      <c r="A11" s="79" t="s">
        <v>24</v>
      </c>
      <c r="B11" s="80"/>
      <c r="C11" s="58">
        <f>SUM(C12:C14)</f>
        <v>9042018</v>
      </c>
      <c r="D11" s="58">
        <f aca="true" t="shared" si="1" ref="D11:Q11">SUM(D12:D14)</f>
        <v>9042018</v>
      </c>
      <c r="E11" s="58">
        <f t="shared" si="1"/>
        <v>3658620</v>
      </c>
      <c r="F11" s="58">
        <f t="shared" si="1"/>
        <v>0</v>
      </c>
      <c r="G11" s="58">
        <f t="shared" si="1"/>
        <v>0</v>
      </c>
      <c r="H11" s="58">
        <f t="shared" si="1"/>
        <v>0</v>
      </c>
      <c r="I11" s="58">
        <f t="shared" si="1"/>
        <v>0</v>
      </c>
      <c r="J11" s="58">
        <f t="shared" si="1"/>
        <v>0</v>
      </c>
      <c r="K11" s="58">
        <f t="shared" si="1"/>
        <v>0</v>
      </c>
      <c r="L11" s="58">
        <f t="shared" si="1"/>
        <v>0</v>
      </c>
      <c r="M11" s="58">
        <f t="shared" si="1"/>
        <v>0</v>
      </c>
      <c r="N11" s="58">
        <f t="shared" si="1"/>
        <v>0</v>
      </c>
      <c r="O11" s="58">
        <f t="shared" si="1"/>
        <v>9042018</v>
      </c>
      <c r="P11" s="58">
        <f t="shared" si="1"/>
        <v>9042018</v>
      </c>
      <c r="Q11" s="59">
        <f t="shared" si="1"/>
        <v>3658620</v>
      </c>
    </row>
    <row r="12" spans="1:17" s="21" customFormat="1" ht="78.75" customHeight="1">
      <c r="A12" s="34" t="s">
        <v>25</v>
      </c>
      <c r="B12" s="35" t="s">
        <v>36</v>
      </c>
      <c r="C12" s="36">
        <f>F12+I12+L12+O12</f>
        <v>4076747.9999999995</v>
      </c>
      <c r="D12" s="36">
        <f>C12+0</f>
        <v>4076747.9999999995</v>
      </c>
      <c r="E12" s="64">
        <f>H12+K12+N12+Q12</f>
        <v>0</v>
      </c>
      <c r="F12" s="64">
        <v>0</v>
      </c>
      <c r="G12" s="64">
        <f>F12+0</f>
        <v>0</v>
      </c>
      <c r="H12" s="65"/>
      <c r="I12" s="65"/>
      <c r="J12" s="65">
        <f>I12+0</f>
        <v>0</v>
      </c>
      <c r="K12" s="65"/>
      <c r="L12" s="65">
        <v>0</v>
      </c>
      <c r="M12" s="65">
        <f>L12+0</f>
        <v>0</v>
      </c>
      <c r="N12" s="65"/>
      <c r="O12" s="36">
        <v>4076747.9999999995</v>
      </c>
      <c r="P12" s="36">
        <f>O12+0</f>
        <v>4076747.9999999995</v>
      </c>
      <c r="Q12" s="66"/>
    </row>
    <row r="13" spans="1:17" s="21" customFormat="1" ht="79.5" customHeight="1">
      <c r="A13" s="29" t="s">
        <v>26</v>
      </c>
      <c r="B13" s="18" t="s">
        <v>122</v>
      </c>
      <c r="C13" s="22">
        <f>F13+I13+L13+O13</f>
        <v>3658620</v>
      </c>
      <c r="D13" s="22">
        <f>C13+0</f>
        <v>3658620</v>
      </c>
      <c r="E13" s="22">
        <f>H13+K13+N13+Q13</f>
        <v>3658620</v>
      </c>
      <c r="F13" s="19">
        <v>0</v>
      </c>
      <c r="G13" s="19">
        <v>0</v>
      </c>
      <c r="H13" s="20"/>
      <c r="I13" s="20">
        <v>0</v>
      </c>
      <c r="J13" s="20">
        <f>I13+0</f>
        <v>0</v>
      </c>
      <c r="K13" s="20"/>
      <c r="L13" s="20">
        <v>0</v>
      </c>
      <c r="M13" s="20">
        <f>L13+0</f>
        <v>0</v>
      </c>
      <c r="N13" s="20"/>
      <c r="O13" s="22">
        <v>3658620</v>
      </c>
      <c r="P13" s="22">
        <f>O13+0</f>
        <v>3658620</v>
      </c>
      <c r="Q13" s="67">
        <v>3658620</v>
      </c>
    </row>
    <row r="14" spans="1:17" s="21" customFormat="1" ht="78.75" customHeight="1" thickBot="1">
      <c r="A14" s="42" t="s">
        <v>1</v>
      </c>
      <c r="B14" s="60" t="s">
        <v>37</v>
      </c>
      <c r="C14" s="51">
        <f>F14+I14+L14+O14</f>
        <v>1306649.9999999998</v>
      </c>
      <c r="D14" s="51">
        <f>C14+0</f>
        <v>1306649.9999999998</v>
      </c>
      <c r="E14" s="61">
        <f>H14+K14+N14+Q14</f>
        <v>0</v>
      </c>
      <c r="F14" s="61"/>
      <c r="G14" s="61"/>
      <c r="H14" s="62"/>
      <c r="I14" s="62"/>
      <c r="J14" s="62"/>
      <c r="K14" s="62"/>
      <c r="L14" s="62"/>
      <c r="M14" s="62"/>
      <c r="N14" s="62"/>
      <c r="O14" s="51">
        <v>1306649.9999999998</v>
      </c>
      <c r="P14" s="51">
        <f>O14+0</f>
        <v>1306649.9999999998</v>
      </c>
      <c r="Q14" s="63"/>
    </row>
    <row r="15" spans="1:17" ht="39.75" customHeight="1" thickBot="1">
      <c r="A15" s="74" t="s">
        <v>27</v>
      </c>
      <c r="B15" s="75"/>
      <c r="C15" s="30">
        <f>SUM(C16:C56)</f>
        <v>21868556.499999996</v>
      </c>
      <c r="D15" s="30">
        <f aca="true" t="shared" si="2" ref="D15:O15">SUM(D16:D56)</f>
        <v>27975998.1</v>
      </c>
      <c r="E15" s="30">
        <f t="shared" si="2"/>
        <v>9816169.129999999</v>
      </c>
      <c r="F15" s="30">
        <f t="shared" si="2"/>
        <v>6024243.8</v>
      </c>
      <c r="G15" s="30">
        <f t="shared" si="2"/>
        <v>6655131.100000001</v>
      </c>
      <c r="H15" s="30">
        <f t="shared" si="2"/>
        <v>3942266.89</v>
      </c>
      <c r="I15" s="30">
        <f t="shared" si="2"/>
        <v>4344065.399999999</v>
      </c>
      <c r="J15" s="30">
        <f t="shared" si="2"/>
        <v>5514292.8</v>
      </c>
      <c r="K15" s="30">
        <f t="shared" si="2"/>
        <v>1284640.04</v>
      </c>
      <c r="L15" s="30">
        <f t="shared" si="2"/>
        <v>7349141.2</v>
      </c>
      <c r="M15" s="30">
        <f t="shared" si="2"/>
        <v>9518982.700000001</v>
      </c>
      <c r="N15" s="30">
        <f t="shared" si="2"/>
        <v>3276149.9000000004</v>
      </c>
      <c r="O15" s="30">
        <f t="shared" si="2"/>
        <v>5690357.800000001</v>
      </c>
      <c r="P15" s="30">
        <f>SUM(P16:P56)</f>
        <v>6287591.500000001</v>
      </c>
      <c r="Q15" s="31">
        <f>SUM(Q16:Q56)</f>
        <v>1313112.2999999998</v>
      </c>
    </row>
    <row r="16" spans="1:17" ht="55.5" customHeight="1">
      <c r="A16" s="34" t="s">
        <v>25</v>
      </c>
      <c r="B16" s="35" t="s">
        <v>31</v>
      </c>
      <c r="C16" s="36">
        <f aca="true" t="shared" si="3" ref="C16:E43">F16+I16+L16+O16</f>
        <v>114466.7</v>
      </c>
      <c r="D16" s="36">
        <f t="shared" si="3"/>
        <v>114466.7</v>
      </c>
      <c r="E16" s="36">
        <f t="shared" si="3"/>
        <v>95044.75</v>
      </c>
      <c r="F16" s="37">
        <v>28616.7</v>
      </c>
      <c r="G16" s="38">
        <f>F16+0</f>
        <v>28616.7</v>
      </c>
      <c r="H16" s="36">
        <v>31688.12</v>
      </c>
      <c r="I16" s="37">
        <f>57233.4-28616.7</f>
        <v>28616.7</v>
      </c>
      <c r="J16" s="38">
        <f>I16+0</f>
        <v>28616.7</v>
      </c>
      <c r="K16" s="36">
        <v>31081.26</v>
      </c>
      <c r="L16" s="37">
        <f>85850.1-57233.4</f>
        <v>28616.700000000004</v>
      </c>
      <c r="M16" s="38">
        <f>L16+0</f>
        <v>28616.700000000004</v>
      </c>
      <c r="N16" s="38">
        <v>32275.37</v>
      </c>
      <c r="O16" s="37">
        <f>114466.7-85850.1</f>
        <v>28616.59999999999</v>
      </c>
      <c r="P16" s="38">
        <f>O16+0</f>
        <v>28616.59999999999</v>
      </c>
      <c r="Q16" s="39"/>
    </row>
    <row r="17" spans="1:17" ht="60.75">
      <c r="A17" s="29" t="s">
        <v>26</v>
      </c>
      <c r="B17" s="18" t="s">
        <v>34</v>
      </c>
      <c r="C17" s="22">
        <f t="shared" si="3"/>
        <v>99683</v>
      </c>
      <c r="D17" s="22">
        <f t="shared" si="3"/>
        <v>99683</v>
      </c>
      <c r="E17" s="22">
        <f t="shared" si="3"/>
        <v>0</v>
      </c>
      <c r="F17" s="23">
        <v>24920.7</v>
      </c>
      <c r="G17" s="24">
        <f aca="true" t="shared" si="4" ref="G17:G47">F17+0</f>
        <v>24920.7</v>
      </c>
      <c r="H17" s="22">
        <v>0</v>
      </c>
      <c r="I17" s="23">
        <f>49841.4-F17</f>
        <v>24920.7</v>
      </c>
      <c r="J17" s="24">
        <f aca="true" t="shared" si="5" ref="J17:J47">I17+0</f>
        <v>24920.7</v>
      </c>
      <c r="K17" s="22">
        <v>0</v>
      </c>
      <c r="L17" s="23">
        <f>74762.1-49841.4</f>
        <v>24920.700000000004</v>
      </c>
      <c r="M17" s="24">
        <f aca="true" t="shared" si="6" ref="M17:M47">L17+0</f>
        <v>24920.700000000004</v>
      </c>
      <c r="N17" s="24">
        <v>0</v>
      </c>
      <c r="O17" s="23">
        <f>99683-74762.1</f>
        <v>24920.899999999994</v>
      </c>
      <c r="P17" s="24">
        <f aca="true" t="shared" si="7" ref="P17:P26">O17+0</f>
        <v>24920.899999999994</v>
      </c>
      <c r="Q17" s="25"/>
    </row>
    <row r="18" spans="1:18" ht="56.25" customHeight="1">
      <c r="A18" s="29" t="s">
        <v>1</v>
      </c>
      <c r="B18" s="26" t="s">
        <v>82</v>
      </c>
      <c r="C18" s="22">
        <f aca="true" t="shared" si="8" ref="C18:E19">F18+I18+L18+O18</f>
        <v>0</v>
      </c>
      <c r="D18" s="22">
        <f t="shared" si="8"/>
        <v>89400</v>
      </c>
      <c r="E18" s="22">
        <f t="shared" si="8"/>
        <v>77947.03</v>
      </c>
      <c r="F18" s="23"/>
      <c r="G18" s="24">
        <v>22350</v>
      </c>
      <c r="H18" s="24">
        <v>33688.32</v>
      </c>
      <c r="I18" s="23"/>
      <c r="J18" s="24">
        <f>44700-22350</f>
        <v>22350</v>
      </c>
      <c r="K18" s="22">
        <v>22079.62</v>
      </c>
      <c r="L18" s="23"/>
      <c r="M18" s="24">
        <f>67050-44700</f>
        <v>22350</v>
      </c>
      <c r="N18" s="24">
        <v>22179.09</v>
      </c>
      <c r="O18" s="23"/>
      <c r="P18" s="24">
        <f>89400-67050</f>
        <v>22350</v>
      </c>
      <c r="Q18" s="25"/>
      <c r="R18" s="27"/>
    </row>
    <row r="19" spans="1:18" ht="57.75" customHeight="1">
      <c r="A19" s="29" t="s">
        <v>28</v>
      </c>
      <c r="B19" s="26" t="s">
        <v>93</v>
      </c>
      <c r="C19" s="22">
        <f t="shared" si="8"/>
        <v>0</v>
      </c>
      <c r="D19" s="22">
        <f t="shared" si="8"/>
        <v>249592.3</v>
      </c>
      <c r="E19" s="22">
        <f t="shared" si="8"/>
        <v>203523.56</v>
      </c>
      <c r="F19" s="23"/>
      <c r="G19" s="24">
        <v>215642.3</v>
      </c>
      <c r="H19" s="24">
        <v>90522.96</v>
      </c>
      <c r="I19" s="23"/>
      <c r="J19" s="24">
        <f>249592.3-215642.3</f>
        <v>33950</v>
      </c>
      <c r="K19" s="22">
        <v>113000.6</v>
      </c>
      <c r="L19" s="23"/>
      <c r="M19" s="24">
        <v>0</v>
      </c>
      <c r="N19" s="24">
        <v>0</v>
      </c>
      <c r="O19" s="23"/>
      <c r="P19" s="24">
        <v>0</v>
      </c>
      <c r="Q19" s="25"/>
      <c r="R19" s="27"/>
    </row>
    <row r="20" spans="1:17" ht="59.25" customHeight="1">
      <c r="A20" s="29" t="s">
        <v>2</v>
      </c>
      <c r="B20" s="26" t="s">
        <v>35</v>
      </c>
      <c r="C20" s="22">
        <f t="shared" si="3"/>
        <v>47536</v>
      </c>
      <c r="D20" s="22">
        <f t="shared" si="3"/>
        <v>47536</v>
      </c>
      <c r="E20" s="22">
        <f t="shared" si="3"/>
        <v>23162.5</v>
      </c>
      <c r="F20" s="23">
        <v>23768</v>
      </c>
      <c r="G20" s="24">
        <f t="shared" si="4"/>
        <v>23768</v>
      </c>
      <c r="H20" s="22">
        <v>23162.5</v>
      </c>
      <c r="I20" s="23">
        <f>47536-23768</f>
        <v>23768</v>
      </c>
      <c r="J20" s="24">
        <f t="shared" si="5"/>
        <v>23768</v>
      </c>
      <c r="K20" s="22">
        <v>0</v>
      </c>
      <c r="L20" s="23">
        <f>47536-47536</f>
        <v>0</v>
      </c>
      <c r="M20" s="24">
        <f t="shared" si="6"/>
        <v>0</v>
      </c>
      <c r="N20" s="24">
        <v>0</v>
      </c>
      <c r="O20" s="23">
        <f>0</f>
        <v>0</v>
      </c>
      <c r="P20" s="24">
        <f t="shared" si="7"/>
        <v>0</v>
      </c>
      <c r="Q20" s="25">
        <v>0</v>
      </c>
    </row>
    <row r="21" spans="1:17" ht="64.5" customHeight="1">
      <c r="A21" s="29" t="s">
        <v>3</v>
      </c>
      <c r="B21" s="26" t="s">
        <v>98</v>
      </c>
      <c r="C21" s="22">
        <f t="shared" si="3"/>
        <v>751068.8</v>
      </c>
      <c r="D21" s="22">
        <f t="shared" si="3"/>
        <v>751068.8</v>
      </c>
      <c r="E21" s="22">
        <f t="shared" si="3"/>
        <v>480152.2</v>
      </c>
      <c r="F21" s="23">
        <v>187767.2</v>
      </c>
      <c r="G21" s="24">
        <f t="shared" si="4"/>
        <v>187767.2</v>
      </c>
      <c r="H21" s="22">
        <v>86028</v>
      </c>
      <c r="I21" s="23">
        <f>375534.4-187767.2</f>
        <v>187767.2</v>
      </c>
      <c r="J21" s="24">
        <f t="shared" si="5"/>
        <v>187767.2</v>
      </c>
      <c r="K21" s="22">
        <v>369228.4</v>
      </c>
      <c r="L21" s="23">
        <f>751068.8-375534.4</f>
        <v>375534.4</v>
      </c>
      <c r="M21" s="24">
        <f t="shared" si="6"/>
        <v>375534.4</v>
      </c>
      <c r="N21" s="24">
        <v>24895.8</v>
      </c>
      <c r="O21" s="23">
        <f>751068.8-751068.8</f>
        <v>0</v>
      </c>
      <c r="P21" s="24">
        <f t="shared" si="7"/>
        <v>0</v>
      </c>
      <c r="Q21" s="25">
        <v>0</v>
      </c>
    </row>
    <row r="22" spans="1:17" ht="65.25" customHeight="1">
      <c r="A22" s="29" t="s">
        <v>4</v>
      </c>
      <c r="B22" s="18" t="s">
        <v>38</v>
      </c>
      <c r="C22" s="22">
        <f t="shared" si="3"/>
        <v>237680</v>
      </c>
      <c r="D22" s="22">
        <f t="shared" si="3"/>
        <v>237680</v>
      </c>
      <c r="E22" s="22">
        <f t="shared" si="3"/>
        <v>295134.7</v>
      </c>
      <c r="F22" s="23">
        <v>59420</v>
      </c>
      <c r="G22" s="24">
        <f t="shared" si="4"/>
        <v>59420</v>
      </c>
      <c r="H22" s="22">
        <v>0</v>
      </c>
      <c r="I22" s="23">
        <f>118840-F22</f>
        <v>59420</v>
      </c>
      <c r="J22" s="24">
        <f t="shared" si="5"/>
        <v>59420</v>
      </c>
      <c r="K22" s="22">
        <v>0</v>
      </c>
      <c r="L22" s="23">
        <f>178260-118840</f>
        <v>59420</v>
      </c>
      <c r="M22" s="24">
        <f t="shared" si="6"/>
        <v>59420</v>
      </c>
      <c r="N22" s="24">
        <v>0</v>
      </c>
      <c r="O22" s="23">
        <f>237680-178260</f>
        <v>59420</v>
      </c>
      <c r="P22" s="24">
        <f t="shared" si="7"/>
        <v>59420</v>
      </c>
      <c r="Q22" s="25">
        <v>295134.7</v>
      </c>
    </row>
    <row r="23" spans="1:17" ht="63" customHeight="1">
      <c r="A23" s="29" t="s">
        <v>5</v>
      </c>
      <c r="B23" s="18" t="s">
        <v>39</v>
      </c>
      <c r="C23" s="22">
        <f t="shared" si="3"/>
        <v>47536</v>
      </c>
      <c r="D23" s="22">
        <f t="shared" si="3"/>
        <v>47536</v>
      </c>
      <c r="E23" s="22">
        <f t="shared" si="3"/>
        <v>0</v>
      </c>
      <c r="F23" s="23">
        <v>11884</v>
      </c>
      <c r="G23" s="24">
        <f t="shared" si="4"/>
        <v>11884</v>
      </c>
      <c r="H23" s="22">
        <v>0</v>
      </c>
      <c r="I23" s="23">
        <f>23768-F23</f>
        <v>11884</v>
      </c>
      <c r="J23" s="24">
        <f t="shared" si="5"/>
        <v>11884</v>
      </c>
      <c r="K23" s="22">
        <v>0</v>
      </c>
      <c r="L23" s="23">
        <f>35652-F23-I23</f>
        <v>11884</v>
      </c>
      <c r="M23" s="24">
        <f t="shared" si="6"/>
        <v>11884</v>
      </c>
      <c r="N23" s="24">
        <v>0</v>
      </c>
      <c r="O23" s="23">
        <f>47536-F23-I23-L23</f>
        <v>11884</v>
      </c>
      <c r="P23" s="24">
        <f t="shared" si="7"/>
        <v>11884</v>
      </c>
      <c r="Q23" s="25">
        <v>0</v>
      </c>
    </row>
    <row r="24" spans="1:17" ht="51" customHeight="1">
      <c r="A24" s="29" t="s">
        <v>6</v>
      </c>
      <c r="B24" s="18" t="s">
        <v>40</v>
      </c>
      <c r="C24" s="22">
        <f t="shared" si="3"/>
        <v>1564409.8</v>
      </c>
      <c r="D24" s="22">
        <f t="shared" si="3"/>
        <v>1564409.8</v>
      </c>
      <c r="E24" s="22">
        <f t="shared" si="3"/>
        <v>2571249.29</v>
      </c>
      <c r="F24" s="23">
        <v>748692</v>
      </c>
      <c r="G24" s="24">
        <f t="shared" si="4"/>
        <v>748692</v>
      </c>
      <c r="H24" s="22">
        <v>761504.35</v>
      </c>
      <c r="I24" s="23">
        <f>1041513.7-F24</f>
        <v>292821.69999999995</v>
      </c>
      <c r="J24" s="24">
        <f t="shared" si="5"/>
        <v>292821.69999999995</v>
      </c>
      <c r="K24" s="22">
        <v>0</v>
      </c>
      <c r="L24" s="23">
        <f>1162730.5-I24-F24</f>
        <v>121216.80000000005</v>
      </c>
      <c r="M24" s="24">
        <f t="shared" si="6"/>
        <v>121216.80000000005</v>
      </c>
      <c r="N24" s="24">
        <v>1809744.94</v>
      </c>
      <c r="O24" s="23">
        <f>1564409.8-L24-I24-F24</f>
        <v>401679.30000000005</v>
      </c>
      <c r="P24" s="24">
        <f t="shared" si="7"/>
        <v>401679.30000000005</v>
      </c>
      <c r="Q24" s="25"/>
    </row>
    <row r="25" spans="1:17" ht="54" customHeight="1">
      <c r="A25" s="29" t="s">
        <v>7</v>
      </c>
      <c r="B25" s="18" t="s">
        <v>41</v>
      </c>
      <c r="C25" s="22">
        <f t="shared" si="3"/>
        <v>1976737</v>
      </c>
      <c r="D25" s="22">
        <f t="shared" si="3"/>
        <v>1976737</v>
      </c>
      <c r="E25" s="22">
        <f t="shared" si="3"/>
        <v>204719.3</v>
      </c>
      <c r="F25" s="23">
        <v>494184.2</v>
      </c>
      <c r="G25" s="24">
        <f t="shared" si="4"/>
        <v>494184.2</v>
      </c>
      <c r="H25" s="22">
        <v>204719.3</v>
      </c>
      <c r="I25" s="23">
        <f>988368.4-F25</f>
        <v>494184.2</v>
      </c>
      <c r="J25" s="24">
        <f t="shared" si="5"/>
        <v>494184.2</v>
      </c>
      <c r="K25" s="22">
        <v>0</v>
      </c>
      <c r="L25" s="23">
        <f>1482552.6-I25-F25</f>
        <v>494184.2000000001</v>
      </c>
      <c r="M25" s="24">
        <f t="shared" si="6"/>
        <v>494184.2000000001</v>
      </c>
      <c r="N25" s="24">
        <v>0</v>
      </c>
      <c r="O25" s="23">
        <f>1976737-L25-I25-F25</f>
        <v>494184.39999999985</v>
      </c>
      <c r="P25" s="24">
        <f t="shared" si="7"/>
        <v>494184.39999999985</v>
      </c>
      <c r="Q25" s="25"/>
    </row>
    <row r="26" spans="1:17" ht="52.5" customHeight="1">
      <c r="A26" s="29" t="s">
        <v>8</v>
      </c>
      <c r="B26" s="18" t="s">
        <v>42</v>
      </c>
      <c r="C26" s="22">
        <f t="shared" si="3"/>
        <v>393883.3</v>
      </c>
      <c r="D26" s="22">
        <f t="shared" si="3"/>
        <v>393883.3</v>
      </c>
      <c r="E26" s="22">
        <f t="shared" si="3"/>
        <v>240830.78</v>
      </c>
      <c r="F26" s="23">
        <v>98470.8</v>
      </c>
      <c r="G26" s="24">
        <f t="shared" si="4"/>
        <v>98470.8</v>
      </c>
      <c r="H26" s="22">
        <v>104811.4</v>
      </c>
      <c r="I26" s="23">
        <f>196941.6-F26</f>
        <v>98470.8</v>
      </c>
      <c r="J26" s="24">
        <f t="shared" si="5"/>
        <v>98470.8</v>
      </c>
      <c r="K26" s="22">
        <v>136019.38</v>
      </c>
      <c r="L26" s="23">
        <f>295412.4-I26-F26</f>
        <v>98470.80000000003</v>
      </c>
      <c r="M26" s="24">
        <f t="shared" si="6"/>
        <v>98470.80000000003</v>
      </c>
      <c r="N26" s="24">
        <v>0</v>
      </c>
      <c r="O26" s="23">
        <f>393883.3-L26-I26-F26</f>
        <v>98470.89999999995</v>
      </c>
      <c r="P26" s="24">
        <f t="shared" si="7"/>
        <v>98470.89999999995</v>
      </c>
      <c r="Q26" s="25"/>
    </row>
    <row r="27" spans="1:17" ht="60.75">
      <c r="A27" s="29" t="s">
        <v>9</v>
      </c>
      <c r="B27" s="18" t="s">
        <v>43</v>
      </c>
      <c r="C27" s="22">
        <f t="shared" si="3"/>
        <v>921057.5</v>
      </c>
      <c r="D27" s="22">
        <f t="shared" si="3"/>
        <v>921057.5</v>
      </c>
      <c r="E27" s="22">
        <f t="shared" si="3"/>
        <v>0</v>
      </c>
      <c r="F27" s="23">
        <v>0</v>
      </c>
      <c r="G27" s="24">
        <f t="shared" si="4"/>
        <v>0</v>
      </c>
      <c r="H27" s="22">
        <v>0</v>
      </c>
      <c r="I27" s="23">
        <v>0</v>
      </c>
      <c r="J27" s="24">
        <f t="shared" si="5"/>
        <v>0</v>
      </c>
      <c r="K27" s="22">
        <v>0</v>
      </c>
      <c r="L27" s="23">
        <v>845570.3999999999</v>
      </c>
      <c r="M27" s="24">
        <f t="shared" si="6"/>
        <v>845570.3999999999</v>
      </c>
      <c r="N27" s="24">
        <v>0</v>
      </c>
      <c r="O27" s="23">
        <f>921057.5-L27</f>
        <v>75487.1000000001</v>
      </c>
      <c r="P27" s="24">
        <f>O27+0</f>
        <v>75487.1000000001</v>
      </c>
      <c r="Q27" s="25"/>
    </row>
    <row r="28" spans="1:17" ht="53.25" customHeight="1">
      <c r="A28" s="29" t="s">
        <v>10</v>
      </c>
      <c r="B28" s="18" t="s">
        <v>106</v>
      </c>
      <c r="C28" s="22">
        <f t="shared" si="3"/>
        <v>950720</v>
      </c>
      <c r="D28" s="22">
        <f t="shared" si="3"/>
        <v>931433</v>
      </c>
      <c r="E28" s="22">
        <f t="shared" si="3"/>
        <v>234903.4</v>
      </c>
      <c r="F28" s="23">
        <v>235197</v>
      </c>
      <c r="G28" s="24">
        <f t="shared" si="4"/>
        <v>235197</v>
      </c>
      <c r="H28" s="22">
        <v>0</v>
      </c>
      <c r="I28" s="23">
        <f>444261-F28</f>
        <v>209064</v>
      </c>
      <c r="J28" s="24">
        <f>I28-19287</f>
        <v>189777</v>
      </c>
      <c r="K28" s="22">
        <v>234903.4</v>
      </c>
      <c r="L28" s="23">
        <f>950720-I28-F28</f>
        <v>506459</v>
      </c>
      <c r="M28" s="24">
        <f t="shared" si="6"/>
        <v>506459</v>
      </c>
      <c r="N28" s="24">
        <v>0</v>
      </c>
      <c r="O28" s="23">
        <f>950720-L28-I28-F28</f>
        <v>0</v>
      </c>
      <c r="P28" s="24">
        <f aca="true" t="shared" si="9" ref="P28:P47">O28+0</f>
        <v>0</v>
      </c>
      <c r="Q28" s="25"/>
    </row>
    <row r="29" spans="1:17" ht="60.75">
      <c r="A29" s="29" t="s">
        <v>11</v>
      </c>
      <c r="B29" s="26" t="s">
        <v>44</v>
      </c>
      <c r="C29" s="22">
        <f t="shared" si="3"/>
        <v>8413.9</v>
      </c>
      <c r="D29" s="22">
        <f t="shared" si="3"/>
        <v>27700.9</v>
      </c>
      <c r="E29" s="22">
        <f t="shared" si="3"/>
        <v>13939.8</v>
      </c>
      <c r="F29" s="23">
        <v>8413.9</v>
      </c>
      <c r="G29" s="24">
        <f t="shared" si="4"/>
        <v>8413.9</v>
      </c>
      <c r="H29" s="22">
        <v>0</v>
      </c>
      <c r="I29" s="23">
        <v>0</v>
      </c>
      <c r="J29" s="24">
        <v>19287</v>
      </c>
      <c r="K29" s="24">
        <v>0</v>
      </c>
      <c r="L29" s="23">
        <v>0</v>
      </c>
      <c r="M29" s="24">
        <f t="shared" si="6"/>
        <v>0</v>
      </c>
      <c r="N29" s="24">
        <v>13939.8</v>
      </c>
      <c r="O29" s="23">
        <v>0</v>
      </c>
      <c r="P29" s="24">
        <f t="shared" si="9"/>
        <v>0</v>
      </c>
      <c r="Q29" s="25"/>
    </row>
    <row r="30" spans="1:17" ht="63.75" customHeight="1">
      <c r="A30" s="29" t="s">
        <v>12</v>
      </c>
      <c r="B30" s="26" t="s">
        <v>45</v>
      </c>
      <c r="C30" s="22">
        <f t="shared" si="3"/>
        <v>1250482</v>
      </c>
      <c r="D30" s="22">
        <f t="shared" si="3"/>
        <v>1250482</v>
      </c>
      <c r="E30" s="22">
        <f t="shared" si="3"/>
        <v>0</v>
      </c>
      <c r="F30" s="23">
        <v>155553</v>
      </c>
      <c r="G30" s="24">
        <f t="shared" si="4"/>
        <v>155553</v>
      </c>
      <c r="H30" s="22">
        <v>0</v>
      </c>
      <c r="I30" s="23">
        <f>520529.3-F30</f>
        <v>364976.3</v>
      </c>
      <c r="J30" s="24">
        <f t="shared" si="5"/>
        <v>364976.3</v>
      </c>
      <c r="K30" s="22">
        <v>0</v>
      </c>
      <c r="L30" s="23">
        <f>885505.6-364976.3-F30</f>
        <v>364976.3</v>
      </c>
      <c r="M30" s="24">
        <f t="shared" si="6"/>
        <v>364976.3</v>
      </c>
      <c r="N30" s="24">
        <v>0</v>
      </c>
      <c r="O30" s="23">
        <f>1250482-L30-I30-F30</f>
        <v>364976.39999999997</v>
      </c>
      <c r="P30" s="24">
        <f t="shared" si="9"/>
        <v>364976.39999999997</v>
      </c>
      <c r="Q30" s="25"/>
    </row>
    <row r="31" spans="1:17" ht="74.25" customHeight="1">
      <c r="A31" s="29" t="s">
        <v>13</v>
      </c>
      <c r="B31" s="26" t="s">
        <v>46</v>
      </c>
      <c r="C31" s="22">
        <f t="shared" si="3"/>
        <v>253129.3</v>
      </c>
      <c r="D31" s="22">
        <f t="shared" si="3"/>
        <v>253129.3</v>
      </c>
      <c r="E31" s="22">
        <f t="shared" si="3"/>
        <v>0</v>
      </c>
      <c r="F31" s="23"/>
      <c r="G31" s="24">
        <f t="shared" si="4"/>
        <v>0</v>
      </c>
      <c r="H31" s="22">
        <v>0</v>
      </c>
      <c r="I31" s="23"/>
      <c r="J31" s="24">
        <f t="shared" si="5"/>
        <v>0</v>
      </c>
      <c r="K31" s="22">
        <v>0</v>
      </c>
      <c r="L31" s="23"/>
      <c r="M31" s="24">
        <f t="shared" si="6"/>
        <v>0</v>
      </c>
      <c r="N31" s="24">
        <v>0</v>
      </c>
      <c r="O31" s="23">
        <v>253129.3</v>
      </c>
      <c r="P31" s="24">
        <f t="shared" si="9"/>
        <v>253129.3</v>
      </c>
      <c r="Q31" s="25"/>
    </row>
    <row r="32" spans="1:17" ht="57.75" customHeight="1">
      <c r="A32" s="29" t="s">
        <v>29</v>
      </c>
      <c r="B32" s="26" t="s">
        <v>47</v>
      </c>
      <c r="C32" s="22">
        <f t="shared" si="3"/>
        <v>2581775.2</v>
      </c>
      <c r="D32" s="22">
        <f t="shared" si="3"/>
        <v>2581775.2</v>
      </c>
      <c r="E32" s="22">
        <f t="shared" si="3"/>
        <v>0</v>
      </c>
      <c r="F32" s="23">
        <v>645443.8</v>
      </c>
      <c r="G32" s="24">
        <f t="shared" si="4"/>
        <v>645443.8</v>
      </c>
      <c r="H32" s="22">
        <v>0</v>
      </c>
      <c r="I32" s="23">
        <f>1290887.6-F32</f>
        <v>645443.8</v>
      </c>
      <c r="J32" s="24">
        <f t="shared" si="5"/>
        <v>645443.8</v>
      </c>
      <c r="K32" s="22"/>
      <c r="L32" s="23">
        <f>1936331.4-I32-F32</f>
        <v>645443.7999999998</v>
      </c>
      <c r="M32" s="24">
        <f t="shared" si="6"/>
        <v>645443.7999999998</v>
      </c>
      <c r="N32" s="24">
        <v>0</v>
      </c>
      <c r="O32" s="23">
        <f>2581775.2-L32-I32-F32</f>
        <v>645443.8000000003</v>
      </c>
      <c r="P32" s="24">
        <f t="shared" si="9"/>
        <v>645443.8000000003</v>
      </c>
      <c r="Q32" s="25"/>
    </row>
    <row r="33" spans="1:17" ht="57.75" customHeight="1">
      <c r="A33" s="29" t="s">
        <v>30</v>
      </c>
      <c r="B33" s="26" t="s">
        <v>48</v>
      </c>
      <c r="C33" s="22">
        <f t="shared" si="3"/>
        <v>383615.6</v>
      </c>
      <c r="D33" s="22">
        <f t="shared" si="3"/>
        <v>383615.6</v>
      </c>
      <c r="E33" s="22">
        <f t="shared" si="3"/>
        <v>147802.44</v>
      </c>
      <c r="F33" s="23">
        <v>259546.59999999998</v>
      </c>
      <c r="G33" s="24">
        <f t="shared" si="4"/>
        <v>259546.59999999998</v>
      </c>
      <c r="H33" s="22">
        <v>145248</v>
      </c>
      <c r="I33" s="23">
        <f>300903-F33</f>
        <v>41356.40000000002</v>
      </c>
      <c r="J33" s="24">
        <f t="shared" si="5"/>
        <v>41356.40000000002</v>
      </c>
      <c r="K33" s="22">
        <v>0</v>
      </c>
      <c r="L33" s="23">
        <f>342259.4-I33-F33</f>
        <v>41356.40000000002</v>
      </c>
      <c r="M33" s="24">
        <f t="shared" si="6"/>
        <v>41356.40000000002</v>
      </c>
      <c r="N33" s="24">
        <v>2554.44</v>
      </c>
      <c r="O33" s="23">
        <f>383615.6-L33-I33-F33</f>
        <v>41356.19999999995</v>
      </c>
      <c r="P33" s="24">
        <f t="shared" si="9"/>
        <v>41356.19999999995</v>
      </c>
      <c r="Q33" s="25"/>
    </row>
    <row r="34" spans="1:17" ht="52.5" customHeight="1">
      <c r="A34" s="29" t="s">
        <v>52</v>
      </c>
      <c r="B34" s="26" t="s">
        <v>49</v>
      </c>
      <c r="C34" s="22">
        <f t="shared" si="3"/>
        <v>254555.3</v>
      </c>
      <c r="D34" s="22">
        <f>G34+J34+M34+O34</f>
        <v>254555.3</v>
      </c>
      <c r="E34" s="22">
        <f t="shared" si="3"/>
        <v>0</v>
      </c>
      <c r="F34" s="23">
        <v>25455.5</v>
      </c>
      <c r="G34" s="24">
        <f t="shared" si="4"/>
        <v>25455.5</v>
      </c>
      <c r="H34" s="22">
        <v>0</v>
      </c>
      <c r="I34" s="23">
        <f>76366.6-F34</f>
        <v>50911.100000000006</v>
      </c>
      <c r="J34" s="24">
        <f t="shared" si="5"/>
        <v>50911.100000000006</v>
      </c>
      <c r="K34" s="22"/>
      <c r="L34" s="23">
        <f>152733.2-I34-F34</f>
        <v>76366.6</v>
      </c>
      <c r="M34" s="24">
        <f t="shared" si="6"/>
        <v>76366.6</v>
      </c>
      <c r="N34" s="24">
        <v>0</v>
      </c>
      <c r="O34" s="24">
        <f>254555.3-L34-I34-F34</f>
        <v>101822.09999999998</v>
      </c>
      <c r="P34" s="24">
        <f t="shared" si="9"/>
        <v>101822.09999999998</v>
      </c>
      <c r="Q34" s="25"/>
    </row>
    <row r="35" spans="1:18" ht="60.75">
      <c r="A35" s="29" t="s">
        <v>53</v>
      </c>
      <c r="B35" s="26" t="s">
        <v>92</v>
      </c>
      <c r="C35" s="22">
        <f>F35+I35+L35+O35</f>
        <v>0</v>
      </c>
      <c r="D35" s="22">
        <f>G35+J35+M35+P35</f>
        <v>320160</v>
      </c>
      <c r="E35" s="22">
        <f>H35+K35+N35+Q35</f>
        <v>190701.8</v>
      </c>
      <c r="F35" s="23"/>
      <c r="G35" s="24">
        <v>154858.5</v>
      </c>
      <c r="H35" s="24">
        <v>0</v>
      </c>
      <c r="I35" s="23"/>
      <c r="J35" s="24">
        <f>209959-154858.5</f>
        <v>55100.5</v>
      </c>
      <c r="K35" s="22"/>
      <c r="L35" s="23"/>
      <c r="M35" s="24">
        <f>265059.5-209959</f>
        <v>55100.5</v>
      </c>
      <c r="N35" s="24">
        <v>190701.8</v>
      </c>
      <c r="O35" s="23"/>
      <c r="P35" s="24">
        <f>320160-265059.5</f>
        <v>55100.5</v>
      </c>
      <c r="Q35" s="25"/>
      <c r="R35" s="27"/>
    </row>
    <row r="36" spans="1:17" ht="60.75">
      <c r="A36" s="29" t="s">
        <v>54</v>
      </c>
      <c r="B36" s="26" t="s">
        <v>50</v>
      </c>
      <c r="C36" s="22">
        <f t="shared" si="3"/>
        <v>321628.6</v>
      </c>
      <c r="D36" s="22">
        <f>G36+J36+M36+O36</f>
        <v>321628.6</v>
      </c>
      <c r="E36" s="22">
        <f t="shared" si="3"/>
        <v>0</v>
      </c>
      <c r="F36" s="24">
        <v>64325.7</v>
      </c>
      <c r="G36" s="24">
        <f t="shared" si="4"/>
        <v>64325.7</v>
      </c>
      <c r="H36" s="22">
        <v>0</v>
      </c>
      <c r="I36" s="23">
        <f>95488.5-F36</f>
        <v>31162.800000000003</v>
      </c>
      <c r="J36" s="24">
        <f t="shared" si="5"/>
        <v>31162.800000000003</v>
      </c>
      <c r="K36" s="22">
        <v>0</v>
      </c>
      <c r="L36" s="23">
        <f>224139.9-I36-F36</f>
        <v>128651.39999999998</v>
      </c>
      <c r="M36" s="24">
        <f t="shared" si="6"/>
        <v>128651.39999999998</v>
      </c>
      <c r="N36" s="24">
        <v>0</v>
      </c>
      <c r="O36" s="24">
        <f>321628.6-L36-I36-F36</f>
        <v>97488.70000000003</v>
      </c>
      <c r="P36" s="24">
        <f t="shared" si="9"/>
        <v>97488.70000000003</v>
      </c>
      <c r="Q36" s="25"/>
    </row>
    <row r="37" spans="1:17" ht="60.75">
      <c r="A37" s="29" t="s">
        <v>55</v>
      </c>
      <c r="B37" s="26" t="s">
        <v>51</v>
      </c>
      <c r="C37" s="22">
        <f t="shared" si="3"/>
        <v>2603071.3</v>
      </c>
      <c r="D37" s="22">
        <f t="shared" si="3"/>
        <v>2603071.3</v>
      </c>
      <c r="E37" s="22">
        <f t="shared" si="3"/>
        <v>0</v>
      </c>
      <c r="F37" s="23">
        <v>0</v>
      </c>
      <c r="G37" s="24">
        <f t="shared" si="4"/>
        <v>0</v>
      </c>
      <c r="H37" s="22">
        <v>0</v>
      </c>
      <c r="I37" s="23"/>
      <c r="J37" s="24">
        <f t="shared" si="5"/>
        <v>0</v>
      </c>
      <c r="K37" s="22">
        <v>0</v>
      </c>
      <c r="L37" s="23">
        <v>1041228.5</v>
      </c>
      <c r="M37" s="24">
        <f t="shared" si="6"/>
        <v>1041228.5</v>
      </c>
      <c r="N37" s="24">
        <v>0</v>
      </c>
      <c r="O37" s="23">
        <f>2603071.3-L37</f>
        <v>1561842.7999999998</v>
      </c>
      <c r="P37" s="24">
        <f t="shared" si="9"/>
        <v>1561842.7999999998</v>
      </c>
      <c r="Q37" s="25"/>
    </row>
    <row r="38" spans="1:17" ht="60.75">
      <c r="A38" s="29" t="s">
        <v>56</v>
      </c>
      <c r="B38" s="26" t="s">
        <v>63</v>
      </c>
      <c r="C38" s="22">
        <f t="shared" si="3"/>
        <v>650767.7</v>
      </c>
      <c r="D38" s="22">
        <f t="shared" si="3"/>
        <v>650767.7</v>
      </c>
      <c r="E38" s="22">
        <f t="shared" si="3"/>
        <v>0</v>
      </c>
      <c r="F38" s="23">
        <v>0</v>
      </c>
      <c r="G38" s="24">
        <f t="shared" si="4"/>
        <v>0</v>
      </c>
      <c r="H38" s="22">
        <v>0</v>
      </c>
      <c r="I38" s="23"/>
      <c r="J38" s="24">
        <f t="shared" si="5"/>
        <v>0</v>
      </c>
      <c r="K38" s="22">
        <v>0</v>
      </c>
      <c r="L38" s="23">
        <v>260307.1</v>
      </c>
      <c r="M38" s="24">
        <f t="shared" si="6"/>
        <v>260307.1</v>
      </c>
      <c r="N38" s="24">
        <v>0</v>
      </c>
      <c r="O38" s="23">
        <f>650767.7-L38</f>
        <v>390460.6</v>
      </c>
      <c r="P38" s="24">
        <f t="shared" si="9"/>
        <v>390460.6</v>
      </c>
      <c r="Q38" s="25"/>
    </row>
    <row r="39" spans="1:17" ht="60.75">
      <c r="A39" s="29" t="s">
        <v>57</v>
      </c>
      <c r="B39" s="26" t="s">
        <v>64</v>
      </c>
      <c r="C39" s="22">
        <f t="shared" si="3"/>
        <v>1150846.6</v>
      </c>
      <c r="D39" s="22">
        <f t="shared" si="3"/>
        <v>1150846.6</v>
      </c>
      <c r="E39" s="22">
        <f t="shared" si="3"/>
        <v>0</v>
      </c>
      <c r="F39" s="23">
        <v>212353.4</v>
      </c>
      <c r="G39" s="24">
        <f t="shared" si="4"/>
        <v>212353.4</v>
      </c>
      <c r="H39" s="22">
        <v>0</v>
      </c>
      <c r="I39" s="23">
        <f>598791.8-F39</f>
        <v>386438.4</v>
      </c>
      <c r="J39" s="24">
        <f>I39+0</f>
        <v>386438.4</v>
      </c>
      <c r="K39" s="22"/>
      <c r="L39" s="23">
        <f>985230.1-I39-F39</f>
        <v>386438.29999999993</v>
      </c>
      <c r="M39" s="24">
        <f t="shared" si="6"/>
        <v>386438.29999999993</v>
      </c>
      <c r="N39" s="24">
        <v>0</v>
      </c>
      <c r="O39" s="23">
        <f>1150846.6-L39-I39-F39</f>
        <v>165616.50000000015</v>
      </c>
      <c r="P39" s="24">
        <f t="shared" si="9"/>
        <v>165616.50000000015</v>
      </c>
      <c r="Q39" s="55">
        <v>0</v>
      </c>
    </row>
    <row r="40" spans="1:17" ht="60.75">
      <c r="A40" s="29" t="s">
        <v>58</v>
      </c>
      <c r="B40" s="26" t="s">
        <v>65</v>
      </c>
      <c r="C40" s="22">
        <f t="shared" si="3"/>
        <v>120456.2</v>
      </c>
      <c r="D40" s="22">
        <f t="shared" si="3"/>
        <v>120456.2</v>
      </c>
      <c r="E40" s="22">
        <f t="shared" si="3"/>
        <v>3585.89</v>
      </c>
      <c r="F40" s="23">
        <v>48182.5</v>
      </c>
      <c r="G40" s="24">
        <f t="shared" si="4"/>
        <v>48182.5</v>
      </c>
      <c r="H40" s="22">
        <v>0</v>
      </c>
      <c r="I40" s="23">
        <f>120456.2-F40</f>
        <v>72273.7</v>
      </c>
      <c r="J40" s="24">
        <f t="shared" si="5"/>
        <v>72273.7</v>
      </c>
      <c r="K40" s="22">
        <v>0</v>
      </c>
      <c r="L40" s="23">
        <v>0</v>
      </c>
      <c r="M40" s="24">
        <f t="shared" si="6"/>
        <v>0</v>
      </c>
      <c r="N40" s="24">
        <v>0</v>
      </c>
      <c r="O40" s="23">
        <v>0</v>
      </c>
      <c r="P40" s="24">
        <f t="shared" si="9"/>
        <v>0</v>
      </c>
      <c r="Q40" s="25">
        <v>3585.89</v>
      </c>
    </row>
    <row r="41" spans="1:17" ht="60.75">
      <c r="A41" s="29" t="s">
        <v>59</v>
      </c>
      <c r="B41" s="26" t="s">
        <v>121</v>
      </c>
      <c r="C41" s="22">
        <f t="shared" si="3"/>
        <v>2195973</v>
      </c>
      <c r="D41" s="22">
        <f t="shared" si="3"/>
        <v>2195973</v>
      </c>
      <c r="E41" s="22">
        <f t="shared" si="3"/>
        <v>0</v>
      </c>
      <c r="F41" s="23">
        <v>329396</v>
      </c>
      <c r="G41" s="24">
        <f t="shared" si="4"/>
        <v>329396</v>
      </c>
      <c r="H41" s="22">
        <v>0</v>
      </c>
      <c r="I41" s="23">
        <f>988187.9-F41</f>
        <v>658791.9</v>
      </c>
      <c r="J41" s="24">
        <f t="shared" si="5"/>
        <v>658791.9</v>
      </c>
      <c r="K41" s="22">
        <v>0</v>
      </c>
      <c r="L41" s="23">
        <f>1866577.1-I41-F41</f>
        <v>878389.2000000002</v>
      </c>
      <c r="M41" s="24">
        <f t="shared" si="6"/>
        <v>878389.2000000002</v>
      </c>
      <c r="N41" s="24">
        <v>0</v>
      </c>
      <c r="O41" s="23">
        <f>2195973-L41-I41-F41</f>
        <v>329395.8999999998</v>
      </c>
      <c r="P41" s="24">
        <f t="shared" si="9"/>
        <v>329395.8999999998</v>
      </c>
      <c r="Q41" s="40">
        <v>0</v>
      </c>
    </row>
    <row r="42" spans="1:17" ht="60.75">
      <c r="A42" s="29" t="s">
        <v>60</v>
      </c>
      <c r="B42" s="26" t="s">
        <v>66</v>
      </c>
      <c r="C42" s="22">
        <f t="shared" si="3"/>
        <v>570432</v>
      </c>
      <c r="D42" s="22">
        <f t="shared" si="3"/>
        <v>570432</v>
      </c>
      <c r="E42" s="22">
        <f t="shared" si="3"/>
        <v>0</v>
      </c>
      <c r="F42" s="23"/>
      <c r="G42" s="24">
        <f t="shared" si="4"/>
        <v>0</v>
      </c>
      <c r="H42" s="22"/>
      <c r="I42" s="23"/>
      <c r="J42" s="24">
        <f t="shared" si="5"/>
        <v>0</v>
      </c>
      <c r="K42" s="22">
        <v>0</v>
      </c>
      <c r="L42" s="23">
        <v>228172.8</v>
      </c>
      <c r="M42" s="24">
        <f t="shared" si="6"/>
        <v>228172.8</v>
      </c>
      <c r="N42" s="24">
        <v>0</v>
      </c>
      <c r="O42" s="23">
        <f>570432-L42</f>
        <v>342259.2</v>
      </c>
      <c r="P42" s="24">
        <f t="shared" si="9"/>
        <v>342259.2</v>
      </c>
      <c r="Q42" s="40"/>
    </row>
    <row r="43" spans="1:18" ht="60.75">
      <c r="A43" s="29" t="s">
        <v>61</v>
      </c>
      <c r="B43" s="26" t="s">
        <v>67</v>
      </c>
      <c r="C43" s="22">
        <f t="shared" si="3"/>
        <v>171177.2</v>
      </c>
      <c r="D43" s="22">
        <f t="shared" si="3"/>
        <v>171177.2</v>
      </c>
      <c r="E43" s="22">
        <f t="shared" si="3"/>
        <v>0</v>
      </c>
      <c r="F43" s="23">
        <v>25676.6</v>
      </c>
      <c r="G43" s="24">
        <f t="shared" si="4"/>
        <v>25676.6</v>
      </c>
      <c r="H43" s="22">
        <v>0</v>
      </c>
      <c r="I43" s="23">
        <v>0</v>
      </c>
      <c r="J43" s="24">
        <f t="shared" si="5"/>
        <v>0</v>
      </c>
      <c r="K43" s="22"/>
      <c r="L43" s="23">
        <f>42794.3-F43</f>
        <v>17117.700000000004</v>
      </c>
      <c r="M43" s="24">
        <f t="shared" si="6"/>
        <v>17117.700000000004</v>
      </c>
      <c r="N43" s="24">
        <v>0</v>
      </c>
      <c r="O43" s="23">
        <f>171177.2-L43-F43</f>
        <v>128382.9</v>
      </c>
      <c r="P43" s="24">
        <f t="shared" si="9"/>
        <v>128382.9</v>
      </c>
      <c r="Q43" s="40"/>
      <c r="R43" s="41"/>
    </row>
    <row r="44" spans="1:17" ht="60.75">
      <c r="A44" s="29" t="s">
        <v>62</v>
      </c>
      <c r="B44" s="26" t="s">
        <v>68</v>
      </c>
      <c r="C44" s="22">
        <f aca="true" t="shared" si="10" ref="C44:E49">F44+I44+L44+O44</f>
        <v>27808.6</v>
      </c>
      <c r="D44" s="22">
        <f t="shared" si="10"/>
        <v>27808.6</v>
      </c>
      <c r="E44" s="22">
        <f t="shared" si="10"/>
        <v>27940.61</v>
      </c>
      <c r="F44" s="23">
        <v>27808.6</v>
      </c>
      <c r="G44" s="24">
        <f t="shared" si="4"/>
        <v>27808.6</v>
      </c>
      <c r="H44" s="22">
        <v>27940.61</v>
      </c>
      <c r="I44" s="23"/>
      <c r="J44" s="24">
        <f t="shared" si="5"/>
        <v>0</v>
      </c>
      <c r="K44" s="22">
        <v>0</v>
      </c>
      <c r="L44" s="23">
        <v>0</v>
      </c>
      <c r="M44" s="24">
        <f t="shared" si="6"/>
        <v>0</v>
      </c>
      <c r="N44" s="24"/>
      <c r="O44" s="23">
        <v>0</v>
      </c>
      <c r="P44" s="24">
        <f t="shared" si="9"/>
        <v>0</v>
      </c>
      <c r="Q44" s="25">
        <v>0</v>
      </c>
    </row>
    <row r="45" spans="1:17" ht="51.75" customHeight="1">
      <c r="A45" s="56" t="s">
        <v>76</v>
      </c>
      <c r="B45" s="26" t="s">
        <v>69</v>
      </c>
      <c r="C45" s="22">
        <f t="shared" si="10"/>
        <v>198795.6</v>
      </c>
      <c r="D45" s="22">
        <f t="shared" si="10"/>
        <v>198795.6</v>
      </c>
      <c r="E45" s="22">
        <f t="shared" si="10"/>
        <v>178988.12</v>
      </c>
      <c r="F45" s="23">
        <v>49698.9</v>
      </c>
      <c r="G45" s="24">
        <f t="shared" si="4"/>
        <v>49698.9</v>
      </c>
      <c r="H45" s="24">
        <v>0</v>
      </c>
      <c r="I45" s="23">
        <f>99397.8-F45</f>
        <v>49698.9</v>
      </c>
      <c r="J45" s="24">
        <f t="shared" si="5"/>
        <v>49698.9</v>
      </c>
      <c r="K45" s="22">
        <v>67011.8</v>
      </c>
      <c r="L45" s="23">
        <f>149096.7-I45-F45</f>
        <v>49698.900000000016</v>
      </c>
      <c r="M45" s="24">
        <f t="shared" si="6"/>
        <v>49698.900000000016</v>
      </c>
      <c r="N45" s="24">
        <v>46462.26</v>
      </c>
      <c r="O45" s="23">
        <f>198795.6-L45-I45-F45</f>
        <v>49698.89999999999</v>
      </c>
      <c r="P45" s="24">
        <f t="shared" si="9"/>
        <v>49698.89999999999</v>
      </c>
      <c r="Q45" s="25">
        <v>65514.06</v>
      </c>
    </row>
    <row r="46" spans="1:17" ht="48.75" customHeight="1">
      <c r="A46" s="56" t="s">
        <v>79</v>
      </c>
      <c r="B46" s="26" t="s">
        <v>70</v>
      </c>
      <c r="C46" s="22">
        <f t="shared" si="10"/>
        <v>1394420.9</v>
      </c>
      <c r="D46" s="22">
        <f t="shared" si="10"/>
        <v>1394420.9</v>
      </c>
      <c r="E46" s="22">
        <f t="shared" si="10"/>
        <v>357382</v>
      </c>
      <c r="F46" s="23">
        <v>343306.5</v>
      </c>
      <c r="G46" s="24">
        <f t="shared" si="4"/>
        <v>343306.5</v>
      </c>
      <c r="H46" s="24">
        <v>0</v>
      </c>
      <c r="I46" s="23">
        <f>773323.7-F46</f>
        <v>430017.19999999995</v>
      </c>
      <c r="J46" s="24">
        <f t="shared" si="5"/>
        <v>430017.19999999995</v>
      </c>
      <c r="K46" s="22">
        <v>0</v>
      </c>
      <c r="L46" s="23">
        <f>1379842-I46-F46</f>
        <v>606518.3</v>
      </c>
      <c r="M46" s="24">
        <f t="shared" si="6"/>
        <v>606518.3</v>
      </c>
      <c r="N46" s="24">
        <v>357382</v>
      </c>
      <c r="O46" s="23">
        <f>1394420.9-L46-I46-F46</f>
        <v>14578.899999999907</v>
      </c>
      <c r="P46" s="24">
        <f t="shared" si="9"/>
        <v>14578.899999999907</v>
      </c>
      <c r="Q46" s="25">
        <v>0</v>
      </c>
    </row>
    <row r="47" spans="1:18" ht="60" customHeight="1">
      <c r="A47" s="29" t="s">
        <v>80</v>
      </c>
      <c r="B47" s="26" t="s">
        <v>71</v>
      </c>
      <c r="C47" s="22">
        <f t="shared" si="10"/>
        <v>626429.4</v>
      </c>
      <c r="D47" s="22">
        <f t="shared" si="10"/>
        <v>626429.4</v>
      </c>
      <c r="E47" s="22">
        <f t="shared" si="10"/>
        <v>1313948.2</v>
      </c>
      <c r="F47" s="23">
        <v>376910.5</v>
      </c>
      <c r="G47" s="24">
        <f t="shared" si="4"/>
        <v>376910.5</v>
      </c>
      <c r="H47" s="24">
        <v>972147.6</v>
      </c>
      <c r="I47" s="23">
        <f>558988.1-F47</f>
        <v>182077.59999999998</v>
      </c>
      <c r="J47" s="24">
        <f t="shared" si="5"/>
        <v>182077.59999999998</v>
      </c>
      <c r="K47" s="22">
        <v>0</v>
      </c>
      <c r="L47" s="23">
        <f>617187-I47-F47</f>
        <v>58198.90000000002</v>
      </c>
      <c r="M47" s="24">
        <f t="shared" si="6"/>
        <v>58198.90000000002</v>
      </c>
      <c r="N47" s="24">
        <v>68809.6</v>
      </c>
      <c r="O47" s="23">
        <f>626429.4-L47-I47-F47</f>
        <v>9242.400000000023</v>
      </c>
      <c r="P47" s="24">
        <f t="shared" si="9"/>
        <v>9242.400000000023</v>
      </c>
      <c r="Q47" s="25">
        <v>272991</v>
      </c>
      <c r="R47" s="27"/>
    </row>
    <row r="48" spans="1:18" ht="69" customHeight="1">
      <c r="A48" s="29" t="s">
        <v>94</v>
      </c>
      <c r="B48" s="26" t="s">
        <v>75</v>
      </c>
      <c r="C48" s="22">
        <f t="shared" si="10"/>
        <v>0</v>
      </c>
      <c r="D48" s="22">
        <f t="shared" si="10"/>
        <v>1376571.6</v>
      </c>
      <c r="E48" s="22">
        <f t="shared" si="10"/>
        <v>1020784.0800000001</v>
      </c>
      <c r="F48" s="23"/>
      <c r="G48" s="24">
        <v>128944.2</v>
      </c>
      <c r="H48" s="24">
        <v>303511.38</v>
      </c>
      <c r="I48" s="23"/>
      <c r="J48" s="24">
        <f>622966.5-G48</f>
        <v>494022.3</v>
      </c>
      <c r="K48" s="22">
        <v>280995.44</v>
      </c>
      <c r="L48" s="23"/>
      <c r="M48" s="24">
        <f>1203395.7-(G48+J48)</f>
        <v>580429.2</v>
      </c>
      <c r="N48" s="24">
        <v>436277.26</v>
      </c>
      <c r="O48" s="23"/>
      <c r="P48" s="24">
        <f>1376571.6-(G48+J48+M48)</f>
        <v>173175.90000000014</v>
      </c>
      <c r="Q48" s="25"/>
      <c r="R48" s="27"/>
    </row>
    <row r="49" spans="1:18" ht="105" customHeight="1">
      <c r="A49" s="29" t="s">
        <v>95</v>
      </c>
      <c r="B49" s="26" t="s">
        <v>91</v>
      </c>
      <c r="C49" s="22">
        <f t="shared" si="10"/>
        <v>0</v>
      </c>
      <c r="D49" s="22">
        <f t="shared" si="10"/>
        <v>26717.2</v>
      </c>
      <c r="E49" s="22">
        <f t="shared" si="10"/>
        <v>19500.8</v>
      </c>
      <c r="F49" s="23"/>
      <c r="G49" s="24">
        <v>11877.7</v>
      </c>
      <c r="H49" s="24">
        <v>19500.8</v>
      </c>
      <c r="I49" s="23"/>
      <c r="J49" s="24">
        <f>22231.3-11860.5</f>
        <v>10370.8</v>
      </c>
      <c r="K49" s="22">
        <v>0</v>
      </c>
      <c r="L49" s="23"/>
      <c r="M49" s="24">
        <f>24465.6-22231.3</f>
        <v>2234.2999999999993</v>
      </c>
      <c r="N49" s="24">
        <v>0</v>
      </c>
      <c r="O49" s="23"/>
      <c r="P49" s="24">
        <f>26700-24465.6</f>
        <v>2234.4000000000015</v>
      </c>
      <c r="Q49" s="25">
        <v>0</v>
      </c>
      <c r="R49" s="27"/>
    </row>
    <row r="50" spans="1:18" ht="60.75">
      <c r="A50" s="57" t="s">
        <v>84</v>
      </c>
      <c r="B50" s="26" t="s">
        <v>85</v>
      </c>
      <c r="C50" s="22">
        <f aca="true" t="shared" si="11" ref="C50:E55">F50+I50+L50+O50</f>
        <v>0</v>
      </c>
      <c r="D50" s="22">
        <f t="shared" si="11"/>
        <v>972147.6</v>
      </c>
      <c r="E50" s="22">
        <f t="shared" si="11"/>
        <v>565440.6</v>
      </c>
      <c r="F50" s="23"/>
      <c r="G50" s="24">
        <v>97214.6</v>
      </c>
      <c r="H50" s="24"/>
      <c r="I50" s="23"/>
      <c r="J50" s="24">
        <f>437466.5-97214.6</f>
        <v>340251.9</v>
      </c>
      <c r="K50" s="22">
        <v>0</v>
      </c>
      <c r="L50" s="23"/>
      <c r="M50" s="24">
        <f>777718-437466.5</f>
        <v>340251.5</v>
      </c>
      <c r="N50" s="24">
        <v>0</v>
      </c>
      <c r="O50" s="23"/>
      <c r="P50" s="24">
        <f>972147.6-777718</f>
        <v>194429.59999999998</v>
      </c>
      <c r="Q50" s="25">
        <v>565440.6</v>
      </c>
      <c r="R50" s="27"/>
    </row>
    <row r="51" spans="1:18" ht="63.75" customHeight="1">
      <c r="A51" s="29" t="s">
        <v>87</v>
      </c>
      <c r="B51" s="26" t="s">
        <v>72</v>
      </c>
      <c r="C51" s="22">
        <f t="shared" si="11"/>
        <v>0</v>
      </c>
      <c r="D51" s="22">
        <f aca="true" t="shared" si="12" ref="D51:D56">G51+J51+M51+P51</f>
        <v>183481.7</v>
      </c>
      <c r="E51" s="22">
        <f t="shared" si="11"/>
        <v>478537.11</v>
      </c>
      <c r="F51" s="23"/>
      <c r="G51" s="24">
        <v>0</v>
      </c>
      <c r="H51" s="24">
        <v>357116.45</v>
      </c>
      <c r="I51" s="23"/>
      <c r="J51" s="24">
        <v>183481.7</v>
      </c>
      <c r="K51" s="22">
        <v>0</v>
      </c>
      <c r="L51" s="23"/>
      <c r="M51" s="24">
        <v>0</v>
      </c>
      <c r="N51" s="24">
        <v>121420.66</v>
      </c>
      <c r="O51" s="23"/>
      <c r="P51" s="24">
        <v>0</v>
      </c>
      <c r="Q51" s="25">
        <v>0</v>
      </c>
      <c r="R51" s="27"/>
    </row>
    <row r="52" spans="1:18" ht="71.25" customHeight="1">
      <c r="A52" s="29" t="s">
        <v>99</v>
      </c>
      <c r="B52" s="26" t="s">
        <v>73</v>
      </c>
      <c r="C52" s="22">
        <v>0</v>
      </c>
      <c r="D52" s="22">
        <f t="shared" si="12"/>
        <v>1539251.7</v>
      </c>
      <c r="E52" s="22">
        <f t="shared" si="11"/>
        <v>811134.5</v>
      </c>
      <c r="F52" s="23">
        <v>1539251.7</v>
      </c>
      <c r="G52" s="24">
        <v>1539251.7</v>
      </c>
      <c r="H52" s="24">
        <v>780677.1</v>
      </c>
      <c r="I52" s="23">
        <v>0</v>
      </c>
      <c r="J52" s="24">
        <v>0</v>
      </c>
      <c r="K52" s="22">
        <v>0</v>
      </c>
      <c r="L52" s="23"/>
      <c r="M52" s="24">
        <v>0</v>
      </c>
      <c r="N52" s="24">
        <v>0</v>
      </c>
      <c r="O52" s="23"/>
      <c r="P52" s="24">
        <v>0</v>
      </c>
      <c r="Q52" s="25">
        <v>30457.4</v>
      </c>
      <c r="R52" s="27"/>
    </row>
    <row r="53" spans="1:18" ht="61.5" customHeight="1">
      <c r="A53" s="29" t="s">
        <v>100</v>
      </c>
      <c r="B53" s="26" t="s">
        <v>101</v>
      </c>
      <c r="C53" s="22">
        <v>0</v>
      </c>
      <c r="D53" s="22">
        <f t="shared" si="12"/>
        <v>30700.2</v>
      </c>
      <c r="E53" s="22">
        <f t="shared" si="11"/>
        <v>30320.14</v>
      </c>
      <c r="F53" s="23">
        <v>0</v>
      </c>
      <c r="G53" s="24">
        <v>0</v>
      </c>
      <c r="H53" s="24">
        <v>0</v>
      </c>
      <c r="I53" s="23">
        <v>0</v>
      </c>
      <c r="J53" s="24">
        <v>30700.2</v>
      </c>
      <c r="K53" s="22">
        <v>30320.14</v>
      </c>
      <c r="L53" s="23"/>
      <c r="M53" s="24">
        <v>0</v>
      </c>
      <c r="N53" s="24">
        <v>0</v>
      </c>
      <c r="O53" s="23"/>
      <c r="P53" s="24">
        <v>0</v>
      </c>
      <c r="Q53" s="25">
        <v>0</v>
      </c>
      <c r="R53" s="27"/>
    </row>
    <row r="54" spans="1:18" ht="61.5" customHeight="1">
      <c r="A54" s="29" t="s">
        <v>108</v>
      </c>
      <c r="B54" s="26" t="s">
        <v>109</v>
      </c>
      <c r="C54" s="22">
        <v>0</v>
      </c>
      <c r="D54" s="22">
        <f t="shared" si="12"/>
        <v>210751.90000000002</v>
      </c>
      <c r="E54" s="22">
        <f t="shared" si="11"/>
        <v>229495.53</v>
      </c>
      <c r="F54" s="23">
        <v>0</v>
      </c>
      <c r="G54" s="24">
        <v>0</v>
      </c>
      <c r="H54" s="24">
        <v>0</v>
      </c>
      <c r="I54" s="23">
        <v>0</v>
      </c>
      <c r="J54" s="24">
        <v>0</v>
      </c>
      <c r="K54" s="22">
        <v>0</v>
      </c>
      <c r="L54" s="23"/>
      <c r="M54" s="24">
        <v>65602.2</v>
      </c>
      <c r="N54" s="24">
        <v>149506.88</v>
      </c>
      <c r="O54" s="23"/>
      <c r="P54" s="24">
        <v>145149.7</v>
      </c>
      <c r="Q54" s="25">
        <v>79988.65</v>
      </c>
      <c r="R54" s="27"/>
    </row>
    <row r="55" spans="1:18" ht="61.5" customHeight="1">
      <c r="A55" s="29" t="s">
        <v>110</v>
      </c>
      <c r="B55" s="26" t="s">
        <v>114</v>
      </c>
      <c r="C55" s="22">
        <v>0</v>
      </c>
      <c r="D55" s="22">
        <f t="shared" si="12"/>
        <v>1103873.8</v>
      </c>
      <c r="E55" s="22">
        <f t="shared" si="11"/>
        <v>0</v>
      </c>
      <c r="F55" s="23"/>
      <c r="G55" s="24"/>
      <c r="H55" s="24"/>
      <c r="I55" s="23"/>
      <c r="J55" s="24"/>
      <c r="K55" s="22"/>
      <c r="L55" s="23"/>
      <c r="M55" s="24">
        <v>1103873.8</v>
      </c>
      <c r="N55" s="24">
        <v>0</v>
      </c>
      <c r="O55" s="23"/>
      <c r="P55" s="24"/>
      <c r="Q55" s="25"/>
      <c r="R55" s="27"/>
    </row>
    <row r="56" spans="1:18" ht="61.5" customHeight="1" thickBot="1">
      <c r="A56" s="53" t="s">
        <v>112</v>
      </c>
      <c r="B56" s="48" t="s">
        <v>111</v>
      </c>
      <c r="C56" s="51">
        <v>0</v>
      </c>
      <c r="D56" s="51">
        <f t="shared" si="12"/>
        <v>4793.6</v>
      </c>
      <c r="E56" s="51">
        <f>H56+K56+N56+Q56</f>
        <v>0</v>
      </c>
      <c r="F56" s="49"/>
      <c r="G56" s="50"/>
      <c r="H56" s="50"/>
      <c r="I56" s="49"/>
      <c r="J56" s="50"/>
      <c r="K56" s="51"/>
      <c r="L56" s="49"/>
      <c r="M56" s="50"/>
      <c r="N56" s="50"/>
      <c r="O56" s="49"/>
      <c r="P56" s="50">
        <v>4793.6</v>
      </c>
      <c r="Q56" s="52"/>
      <c r="R56" s="27"/>
    </row>
    <row r="57" spans="1:17" ht="24" customHeight="1" thickBot="1">
      <c r="A57" s="74" t="s">
        <v>96</v>
      </c>
      <c r="B57" s="75"/>
      <c r="C57" s="30">
        <f>SUM(C58:C63)</f>
        <v>130779.2</v>
      </c>
      <c r="D57" s="30">
        <f aca="true" t="shared" si="13" ref="D57:Q57">SUM(D58:D63)</f>
        <v>626743.27</v>
      </c>
      <c r="E57" s="30">
        <f t="shared" si="13"/>
        <v>191992.38</v>
      </c>
      <c r="F57" s="30">
        <f t="shared" si="13"/>
        <v>107011.2</v>
      </c>
      <c r="G57" s="30">
        <f t="shared" si="13"/>
        <v>256611.59999999998</v>
      </c>
      <c r="H57" s="30">
        <f t="shared" si="13"/>
        <v>45681.8</v>
      </c>
      <c r="I57" s="30">
        <f t="shared" si="13"/>
        <v>23768</v>
      </c>
      <c r="J57" s="30">
        <f t="shared" si="13"/>
        <v>212502.80000000002</v>
      </c>
      <c r="K57" s="30">
        <f t="shared" si="13"/>
        <v>54584.979999999996</v>
      </c>
      <c r="L57" s="30">
        <f t="shared" si="13"/>
        <v>0</v>
      </c>
      <c r="M57" s="30">
        <f t="shared" si="13"/>
        <v>103880</v>
      </c>
      <c r="N57" s="30">
        <f t="shared" si="13"/>
        <v>91725.6</v>
      </c>
      <c r="O57" s="30">
        <f t="shared" si="13"/>
        <v>0</v>
      </c>
      <c r="P57" s="30">
        <f t="shared" si="13"/>
        <v>53748.869999999995</v>
      </c>
      <c r="Q57" s="31">
        <f t="shared" si="13"/>
        <v>0</v>
      </c>
    </row>
    <row r="58" spans="1:17" ht="42.75" customHeight="1">
      <c r="A58" s="34" t="s">
        <v>25</v>
      </c>
      <c r="B58" s="35" t="s">
        <v>117</v>
      </c>
      <c r="C58" s="36">
        <f aca="true" t="shared" si="14" ref="C58:E63">F58+I58+L58+O58</f>
        <v>6000</v>
      </c>
      <c r="D58" s="36">
        <f t="shared" si="14"/>
        <v>16000</v>
      </c>
      <c r="E58" s="36">
        <f t="shared" si="14"/>
        <v>22916.68</v>
      </c>
      <c r="F58" s="37">
        <v>6000</v>
      </c>
      <c r="G58" s="38">
        <f>F58+0</f>
        <v>6000</v>
      </c>
      <c r="H58" s="36">
        <v>0</v>
      </c>
      <c r="I58" s="37">
        <v>0</v>
      </c>
      <c r="J58" s="38">
        <v>10000</v>
      </c>
      <c r="K58" s="36">
        <v>22916.68</v>
      </c>
      <c r="L58" s="37">
        <v>0</v>
      </c>
      <c r="M58" s="38">
        <f>L58+0</f>
        <v>0</v>
      </c>
      <c r="N58" s="38">
        <v>0</v>
      </c>
      <c r="O58" s="37">
        <v>0</v>
      </c>
      <c r="P58" s="38">
        <f>O58+0</f>
        <v>0</v>
      </c>
      <c r="Q58" s="39"/>
    </row>
    <row r="59" spans="1:17" ht="40.5" customHeight="1">
      <c r="A59" s="29" t="s">
        <v>26</v>
      </c>
      <c r="B59" s="18" t="s">
        <v>107</v>
      </c>
      <c r="C59" s="22">
        <f t="shared" si="14"/>
        <v>9337.2</v>
      </c>
      <c r="D59" s="22">
        <f t="shared" si="14"/>
        <v>19976.670000000002</v>
      </c>
      <c r="E59" s="22">
        <f t="shared" si="14"/>
        <v>3178.9700000000003</v>
      </c>
      <c r="F59" s="23">
        <v>9337.2</v>
      </c>
      <c r="G59" s="24">
        <f>F59+0</f>
        <v>9337.2</v>
      </c>
      <c r="H59" s="22">
        <v>1854.32</v>
      </c>
      <c r="I59" s="23">
        <v>0</v>
      </c>
      <c r="J59" s="24">
        <v>0</v>
      </c>
      <c r="K59" s="22">
        <v>0</v>
      </c>
      <c r="L59" s="23">
        <v>0</v>
      </c>
      <c r="M59" s="24">
        <v>5011.5</v>
      </c>
      <c r="N59" s="24">
        <v>1324.65</v>
      </c>
      <c r="O59" s="23">
        <v>0</v>
      </c>
      <c r="P59" s="24">
        <v>5627.97</v>
      </c>
      <c r="Q59" s="25"/>
    </row>
    <row r="60" spans="1:17" ht="45" customHeight="1">
      <c r="A60" s="29" t="s">
        <v>1</v>
      </c>
      <c r="B60" s="26" t="s">
        <v>74</v>
      </c>
      <c r="C60" s="22">
        <f t="shared" si="14"/>
        <v>47536</v>
      </c>
      <c r="D60" s="22">
        <f t="shared" si="14"/>
        <v>47536</v>
      </c>
      <c r="E60" s="22">
        <f t="shared" si="14"/>
        <v>23162.5</v>
      </c>
      <c r="F60" s="23">
        <v>23768</v>
      </c>
      <c r="G60" s="24">
        <f>F60+0</f>
        <v>23768</v>
      </c>
      <c r="H60" s="22">
        <v>23162.5</v>
      </c>
      <c r="I60" s="23">
        <f>47536-23768</f>
        <v>23768</v>
      </c>
      <c r="J60" s="24">
        <f>I60+0</f>
        <v>23768</v>
      </c>
      <c r="K60" s="22">
        <v>0</v>
      </c>
      <c r="L60" s="23">
        <f>47536-47536</f>
        <v>0</v>
      </c>
      <c r="M60" s="24">
        <f>L60+0</f>
        <v>0</v>
      </c>
      <c r="N60" s="24"/>
      <c r="O60" s="23">
        <f>0</f>
        <v>0</v>
      </c>
      <c r="P60" s="24">
        <f>O60+0</f>
        <v>0</v>
      </c>
      <c r="Q60" s="25"/>
    </row>
    <row r="61" spans="1:17" ht="34.5" customHeight="1">
      <c r="A61" s="29" t="s">
        <v>28</v>
      </c>
      <c r="B61" s="26" t="s">
        <v>118</v>
      </c>
      <c r="C61" s="22">
        <f t="shared" si="14"/>
        <v>67906</v>
      </c>
      <c r="D61" s="22">
        <f t="shared" si="14"/>
        <v>167017.1</v>
      </c>
      <c r="E61" s="22">
        <f t="shared" si="14"/>
        <v>56654.39</v>
      </c>
      <c r="F61" s="23">
        <v>67906</v>
      </c>
      <c r="G61" s="24">
        <f>F61+0</f>
        <v>67906</v>
      </c>
      <c r="H61" s="22">
        <v>11188.58</v>
      </c>
      <c r="I61" s="23">
        <v>0</v>
      </c>
      <c r="J61" s="24">
        <v>99111.1</v>
      </c>
      <c r="K61" s="22">
        <v>25380.8</v>
      </c>
      <c r="L61" s="23">
        <v>0</v>
      </c>
      <c r="M61" s="24">
        <v>0</v>
      </c>
      <c r="N61" s="24">
        <v>20085.01</v>
      </c>
      <c r="O61" s="23">
        <v>0</v>
      </c>
      <c r="P61" s="24">
        <v>0</v>
      </c>
      <c r="Q61" s="25"/>
    </row>
    <row r="62" spans="1:18" ht="35.25" customHeight="1">
      <c r="A62" s="29" t="s">
        <v>2</v>
      </c>
      <c r="B62" s="26" t="s">
        <v>88</v>
      </c>
      <c r="C62" s="22">
        <f>F62+I62+L62+O62</f>
        <v>0</v>
      </c>
      <c r="D62" s="22">
        <f>G62+J62+M62+P62</f>
        <v>293520.5</v>
      </c>
      <c r="E62" s="22">
        <f>H62+K62+N62+Q62</f>
        <v>57043.2</v>
      </c>
      <c r="F62" s="23"/>
      <c r="G62" s="24">
        <v>149600.4</v>
      </c>
      <c r="H62" s="24">
        <v>0</v>
      </c>
      <c r="I62" s="23"/>
      <c r="J62" s="24">
        <f>209716.5-149600.4</f>
        <v>60116.100000000006</v>
      </c>
      <c r="K62" s="22">
        <v>0</v>
      </c>
      <c r="L62" s="23"/>
      <c r="M62" s="24">
        <f>248574.6-209716.5</f>
        <v>38858.100000000006</v>
      </c>
      <c r="N62" s="24">
        <v>57043.2</v>
      </c>
      <c r="O62" s="23"/>
      <c r="P62" s="24">
        <f>293520.5-248574.6</f>
        <v>44945.899999999994</v>
      </c>
      <c r="Q62" s="25"/>
      <c r="R62" s="27"/>
    </row>
    <row r="63" spans="1:18" ht="41.25" thickBot="1">
      <c r="A63" s="42" t="s">
        <v>3</v>
      </c>
      <c r="B63" s="43" t="s">
        <v>119</v>
      </c>
      <c r="C63" s="44">
        <f t="shared" si="14"/>
        <v>0</v>
      </c>
      <c r="D63" s="44">
        <f t="shared" si="14"/>
        <v>82693</v>
      </c>
      <c r="E63" s="44">
        <f t="shared" si="14"/>
        <v>29036.64</v>
      </c>
      <c r="F63" s="45">
        <v>0</v>
      </c>
      <c r="G63" s="46"/>
      <c r="H63" s="46">
        <v>9476.4</v>
      </c>
      <c r="I63" s="45"/>
      <c r="J63" s="46">
        <v>19507.6</v>
      </c>
      <c r="K63" s="44">
        <v>6287.5</v>
      </c>
      <c r="L63" s="45"/>
      <c r="M63" s="46">
        <v>60010.4</v>
      </c>
      <c r="N63" s="46">
        <v>13272.74</v>
      </c>
      <c r="O63" s="45"/>
      <c r="P63" s="46">
        <f>53751.3-50576.3</f>
        <v>3175</v>
      </c>
      <c r="Q63" s="47"/>
      <c r="R63" s="27"/>
    </row>
    <row r="65" ht="18.75">
      <c r="B65" s="28" t="s">
        <v>103</v>
      </c>
    </row>
    <row r="66" ht="18.75">
      <c r="B66" s="28" t="s">
        <v>104</v>
      </c>
    </row>
    <row r="68" ht="18.75">
      <c r="B68" s="28" t="s">
        <v>77</v>
      </c>
    </row>
    <row r="69" ht="18.75">
      <c r="B69" s="28" t="s">
        <v>78</v>
      </c>
    </row>
    <row r="70" ht="18.75">
      <c r="B70" s="28" t="s">
        <v>81</v>
      </c>
    </row>
    <row r="71" ht="18.75">
      <c r="B71" s="28" t="s">
        <v>83</v>
      </c>
    </row>
    <row r="72" ht="18.75">
      <c r="B72" s="28" t="s">
        <v>86</v>
      </c>
    </row>
    <row r="73" ht="18.75">
      <c r="B73" s="28" t="s">
        <v>89</v>
      </c>
    </row>
    <row r="74" ht="18.75">
      <c r="B74" s="28" t="s">
        <v>90</v>
      </c>
    </row>
    <row r="75" ht="18.75">
      <c r="B75" s="28" t="s">
        <v>102</v>
      </c>
    </row>
    <row r="76" ht="18.75">
      <c r="B76" s="28" t="s">
        <v>105</v>
      </c>
    </row>
    <row r="77" ht="18.75">
      <c r="B77" s="28" t="s">
        <v>115</v>
      </c>
    </row>
    <row r="78" ht="18.75">
      <c r="B78" s="28" t="s">
        <v>116</v>
      </c>
    </row>
    <row r="79" ht="18.75">
      <c r="B79" s="28" t="s">
        <v>113</v>
      </c>
    </row>
  </sheetData>
  <sheetProtection/>
  <mergeCells count="13">
    <mergeCell ref="A57:B57"/>
    <mergeCell ref="I8:K8"/>
    <mergeCell ref="L8:N8"/>
    <mergeCell ref="O8:Q8"/>
    <mergeCell ref="A10:B10"/>
    <mergeCell ref="A11:B11"/>
    <mergeCell ref="A15:B15"/>
    <mergeCell ref="B4:O4"/>
    <mergeCell ref="B1:O1"/>
    <mergeCell ref="B2:O2"/>
    <mergeCell ref="A8:B9"/>
    <mergeCell ref="C8:E8"/>
    <mergeCell ref="F8:H8"/>
  </mergeCells>
  <printOptions/>
  <pageMargins left="0.16" right="0.16" top="0.23" bottom="0.16" header="0.26" footer="0.16"/>
  <pageSetup orientation="landscape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Harutyunyan</dc:creator>
  <cp:keywords/>
  <dc:description/>
  <cp:lastModifiedBy>Maria Harutyunyan</cp:lastModifiedBy>
  <cp:lastPrinted>2018-02-06T06:32:54Z</cp:lastPrinted>
  <dcterms:created xsi:type="dcterms:W3CDTF">1996-10-14T23:33:28Z</dcterms:created>
  <dcterms:modified xsi:type="dcterms:W3CDTF">2018-02-06T11:42:41Z</dcterms:modified>
  <cp:category/>
  <cp:version/>
  <cp:contentType/>
  <cp:contentStatus/>
</cp:coreProperties>
</file>