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15" windowWidth="15480" windowHeight="10905" tabRatio="894" activeTab="0"/>
  </bookViews>
  <sheets>
    <sheet name="Sheet1" sheetId="1" r:id="rId1"/>
  </sheets>
  <definedNames>
    <definedName name="_xlfn.RTD" hidden="1">#NAME?</definedName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<sst xmlns="http://schemas.openxmlformats.org/spreadsheetml/2006/main" count="65" uniqueCount="47">
  <si>
    <t>Short Terms Bills</t>
  </si>
  <si>
    <t>Buyback</t>
  </si>
  <si>
    <t>Outstanding</t>
  </si>
  <si>
    <t>W.A.Yield</t>
  </si>
  <si>
    <t>Maturity Date</t>
  </si>
  <si>
    <t>Benchmark Bonds</t>
  </si>
  <si>
    <t>Medium and Long Terms Bonds</t>
  </si>
  <si>
    <t>Allocated</t>
  </si>
  <si>
    <t>Issue volume</t>
  </si>
  <si>
    <t>Issue date</t>
  </si>
  <si>
    <t>Remaining maturity</t>
  </si>
  <si>
    <t>Coupon Yield</t>
  </si>
  <si>
    <t>AMGB1029A250</t>
  </si>
  <si>
    <t>AMGB20172327</t>
  </si>
  <si>
    <t>AMGB2029A366</t>
  </si>
  <si>
    <t>AMGB1029A235</t>
  </si>
  <si>
    <t>AMGB20072287</t>
  </si>
  <si>
    <t>ISIN</t>
  </si>
  <si>
    <t>AMGB30163472</t>
  </si>
  <si>
    <t>AMGB1029A276</t>
  </si>
  <si>
    <t>AMGN60294235</t>
  </si>
  <si>
    <t>AMGN60294243</t>
  </si>
  <si>
    <t>AMGB1029A292</t>
  </si>
  <si>
    <t>AMGN36294236</t>
  </si>
  <si>
    <t>AMGN60294250</t>
  </si>
  <si>
    <t>AMGB3129A504</t>
  </si>
  <si>
    <t>AMGB2029A374</t>
  </si>
  <si>
    <t>AMGB1129A316</t>
  </si>
  <si>
    <t>AMGN60294268</t>
  </si>
  <si>
    <t>AMGN36294244</t>
  </si>
  <si>
    <t>AMGT52015238</t>
  </si>
  <si>
    <t>AMGN60294276</t>
  </si>
  <si>
    <t>AMGT52056232</t>
  </si>
  <si>
    <t>AMGN36294251</t>
  </si>
  <si>
    <t>AMGT52037232</t>
  </si>
  <si>
    <t>AMGT52049237</t>
  </si>
  <si>
    <t>AMGT5202A236</t>
  </si>
  <si>
    <t>AMGT52317238</t>
  </si>
  <si>
    <t>AMGT5213B231</t>
  </si>
  <si>
    <t>AMGT5204C238</t>
  </si>
  <si>
    <t>AMGB1129A332</t>
  </si>
  <si>
    <t>AMGT52151249</t>
  </si>
  <si>
    <t>AMGT52052249</t>
  </si>
  <si>
    <t>AMGT52043248</t>
  </si>
  <si>
    <t>AMGT52014249</t>
  </si>
  <si>
    <t>AMGB3029A522</t>
  </si>
  <si>
    <t>Outstanding of marketable Bonds as of 18 April, 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</si>
</sst>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??_);_(@_)"/>
    <numFmt numFmtId="189" formatCode="0.0000%"/>
    <numFmt numFmtId="190" formatCode="_ * #,##0_ ;_ * \-#,##0_ ;_ * &quot;-&quot;??_ ;_ @_ "/>
    <numFmt numFmtId="191" formatCode="0.0%"/>
    <numFmt numFmtId="192" formatCode="_(* #,##0.0_);_(* \(#,##0.0\);_(* &quot;-&quot;??_);_(@_)"/>
    <numFmt numFmtId="193" formatCode="0.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00"/>
    <numFmt numFmtId="199" formatCode="0.00000"/>
    <numFmt numFmtId="200" formatCode="0.00000%"/>
    <numFmt numFmtId="201" formatCode="_(* #,##0.0000000_);_(* \(#,##0.0000000\);_(* &quot;-&quot;??_);_(@_)"/>
    <numFmt numFmtId="202" formatCode="_(* #,##0.0000000000_);_(* \(#,##0.0000000000\);_(* &quot;-&quot;??_);_(@_)"/>
    <numFmt numFmtId="203" formatCode="0.000%"/>
    <numFmt numFmtId="204" formatCode="0.000000"/>
    <numFmt numFmtId="205" formatCode="mmm\-yyyy"/>
    <numFmt numFmtId="206" formatCode="_(* #,##0.0000_);_(* \(#,##0.0000\);_(* &quot;-&quot;????_);_(@_)"/>
    <numFmt numFmtId="207" formatCode="[$-409]dddd\,\ mmmm\ dd\,\ yyyy"/>
    <numFmt numFmtId="208" formatCode="[$-409]d\-mmm\-yy;@"/>
    <numFmt numFmtId="209" formatCode="_(* #,##0.0_);_(* \(#,##0.0\);_(* &quot;-&quot;?_);_(@_)"/>
    <numFmt numFmtId="210" formatCode="[$-409]mmm\-yy;@"/>
    <numFmt numFmtId="211" formatCode="0.0"/>
    <numFmt numFmtId="212" formatCode="_-* #,##0.0_-;\-* #,##0.0_-;_-* &quot;-&quot;?_-;_-@_-"/>
    <numFmt numFmtId="213" formatCode="_-* #,##0.0000_-;\-* #,##0.0000_-;_-* &quot;-&quot;????_-;_-@_-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10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4"/>
      <color indexed="10"/>
      <name val="GHEA Grapalat"/>
      <family val="3"/>
    </font>
    <font>
      <b/>
      <sz val="12"/>
      <name val="GHEA Grapalat"/>
      <family val="3"/>
    </font>
    <font>
      <b/>
      <sz val="12"/>
      <color indexed="57"/>
      <name val="GHEA Grapalat"/>
      <family val="3"/>
    </font>
    <font>
      <sz val="12"/>
      <name val="GHEA Grapalat"/>
      <family val="3"/>
    </font>
    <font>
      <b/>
      <sz val="13"/>
      <name val="GHEA Grapalat"/>
      <family val="3"/>
    </font>
    <font>
      <b/>
      <sz val="13"/>
      <color indexed="57"/>
      <name val="GHEA Grapalat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GHEA Grapalat"/>
      <family val="3"/>
    </font>
    <font>
      <sz val="10"/>
      <color indexed="10"/>
      <name val="GHEA Grapalat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GHEA Grapalat"/>
      <family val="3"/>
    </font>
    <font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14" fontId="49" fillId="0" borderId="0" xfId="42" applyNumberFormat="1" applyFont="1" applyAlignment="1">
      <alignment/>
    </xf>
    <xf numFmtId="15" fontId="8" fillId="0" borderId="10" xfId="42" applyNumberFormat="1" applyFont="1" applyBorder="1" applyAlignment="1">
      <alignment horizontal="center" vertical="center" wrapText="1"/>
    </xf>
    <xf numFmtId="1" fontId="8" fillId="0" borderId="11" xfId="42" applyNumberFormat="1" applyFont="1" applyBorder="1" applyAlignment="1">
      <alignment horizontal="center" vertical="center" wrapText="1"/>
    </xf>
    <xf numFmtId="188" fontId="8" fillId="0" borderId="12" xfId="42" applyNumberFormat="1" applyFont="1" applyBorder="1" applyAlignment="1">
      <alignment horizontal="center" vertical="center" wrapText="1"/>
    </xf>
    <xf numFmtId="189" fontId="8" fillId="0" borderId="12" xfId="59" applyNumberFormat="1" applyFont="1" applyBorder="1" applyAlignment="1">
      <alignment horizontal="center" vertical="center" wrapText="1"/>
    </xf>
    <xf numFmtId="15" fontId="8" fillId="0" borderId="12" xfId="0" applyNumberFormat="1" applyFont="1" applyBorder="1" applyAlignment="1">
      <alignment horizontal="center" vertical="center" wrapText="1"/>
    </xf>
    <xf numFmtId="15" fontId="8" fillId="0" borderId="13" xfId="42" applyNumberFormat="1" applyFont="1" applyBorder="1" applyAlignment="1">
      <alignment horizontal="center" vertical="center" wrapText="1"/>
    </xf>
    <xf numFmtId="15" fontId="8" fillId="0" borderId="14" xfId="0" applyNumberFormat="1" applyFont="1" applyBorder="1" applyAlignment="1">
      <alignment/>
    </xf>
    <xf numFmtId="15" fontId="8" fillId="0" borderId="15" xfId="0" applyNumberFormat="1" applyFont="1" applyBorder="1" applyAlignment="1">
      <alignment horizontal="center"/>
    </xf>
    <xf numFmtId="188" fontId="8" fillId="0" borderId="16" xfId="42" applyNumberFormat="1" applyFont="1" applyFill="1" applyBorder="1" applyAlignment="1">
      <alignment/>
    </xf>
    <xf numFmtId="188" fontId="8" fillId="0" borderId="16" xfId="42" applyNumberFormat="1" applyFont="1" applyBorder="1" applyAlignment="1">
      <alignment/>
    </xf>
    <xf numFmtId="188" fontId="8" fillId="0" borderId="17" xfId="42" applyNumberFormat="1" applyFont="1" applyBorder="1" applyAlignment="1">
      <alignment/>
    </xf>
    <xf numFmtId="188" fontId="8" fillId="0" borderId="17" xfId="0" applyNumberFormat="1" applyFont="1" applyBorder="1" applyAlignment="1">
      <alignment/>
    </xf>
    <xf numFmtId="189" fontId="8" fillId="0" borderId="17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/>
    </xf>
    <xf numFmtId="15" fontId="8" fillId="0" borderId="18" xfId="0" applyNumberFormat="1" applyFont="1" applyBorder="1" applyAlignment="1">
      <alignment/>
    </xf>
    <xf numFmtId="15" fontId="8" fillId="0" borderId="19" xfId="0" applyNumberFormat="1" applyFont="1" applyBorder="1" applyAlignment="1">
      <alignment/>
    </xf>
    <xf numFmtId="189" fontId="8" fillId="0" borderId="17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5" fontId="9" fillId="0" borderId="10" xfId="0" applyNumberFormat="1" applyFont="1" applyBorder="1" applyAlignment="1">
      <alignment/>
    </xf>
    <xf numFmtId="15" fontId="9" fillId="0" borderId="20" xfId="0" applyNumberFormat="1" applyFont="1" applyBorder="1" applyAlignment="1">
      <alignment/>
    </xf>
    <xf numFmtId="188" fontId="9" fillId="0" borderId="12" xfId="42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15" fontId="9" fillId="0" borderId="13" xfId="0" applyNumberFormat="1" applyFont="1" applyBorder="1" applyAlignment="1">
      <alignment/>
    </xf>
    <xf numFmtId="15" fontId="9" fillId="0" borderId="0" xfId="0" applyNumberFormat="1" applyFont="1" applyBorder="1" applyAlignment="1">
      <alignment/>
    </xf>
    <xf numFmtId="188" fontId="9" fillId="0" borderId="0" xfId="42" applyNumberFormat="1" applyFont="1" applyBorder="1" applyAlignment="1">
      <alignment/>
    </xf>
    <xf numFmtId="188" fontId="6" fillId="0" borderId="0" xfId="42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95" fontId="10" fillId="0" borderId="0" xfId="42" applyNumberFormat="1" applyFont="1" applyAlignment="1">
      <alignment/>
    </xf>
    <xf numFmtId="0" fontId="10" fillId="0" borderId="0" xfId="0" applyFont="1" applyBorder="1" applyAlignment="1">
      <alignment horizontal="center"/>
    </xf>
    <xf numFmtId="15" fontId="8" fillId="0" borderId="13" xfId="0" applyNumberFormat="1" applyFont="1" applyBorder="1" applyAlignment="1">
      <alignment horizontal="center" vertical="center" wrapText="1"/>
    </xf>
    <xf numFmtId="188" fontId="5" fillId="0" borderId="0" xfId="42" applyNumberFormat="1" applyFont="1" applyAlignment="1">
      <alignment/>
    </xf>
    <xf numFmtId="0" fontId="9" fillId="0" borderId="12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88" fontId="8" fillId="0" borderId="15" xfId="42" applyNumberFormat="1" applyFont="1" applyBorder="1" applyAlignment="1">
      <alignment/>
    </xf>
    <xf numFmtId="189" fontId="8" fillId="0" borderId="15" xfId="0" applyNumberFormat="1" applyFont="1" applyBorder="1" applyAlignment="1">
      <alignment/>
    </xf>
    <xf numFmtId="0" fontId="50" fillId="0" borderId="0" xfId="0" applyFont="1" applyAlignment="1">
      <alignment/>
    </xf>
    <xf numFmtId="188" fontId="8" fillId="0" borderId="15" xfId="0" applyNumberFormat="1" applyFont="1" applyBorder="1" applyAlignment="1">
      <alignment/>
    </xf>
    <xf numFmtId="15" fontId="8" fillId="33" borderId="15" xfId="0" applyNumberFormat="1" applyFont="1" applyFill="1" applyBorder="1" applyAlignment="1">
      <alignment horizontal="center"/>
    </xf>
    <xf numFmtId="188" fontId="8" fillId="33" borderId="16" xfId="42" applyNumberFormat="1" applyFont="1" applyFill="1" applyBorder="1" applyAlignment="1">
      <alignment/>
    </xf>
    <xf numFmtId="15" fontId="9" fillId="0" borderId="12" xfId="0" applyNumberFormat="1" applyFont="1" applyBorder="1" applyAlignment="1">
      <alignment/>
    </xf>
    <xf numFmtId="15" fontId="8" fillId="0" borderId="21" xfId="0" applyNumberFormat="1" applyFont="1" applyBorder="1" applyAlignment="1">
      <alignment/>
    </xf>
    <xf numFmtId="15" fontId="8" fillId="0" borderId="22" xfId="0" applyNumberFormat="1" applyFont="1" applyBorder="1" applyAlignment="1">
      <alignment/>
    </xf>
    <xf numFmtId="193" fontId="5" fillId="0" borderId="0" xfId="0" applyNumberFormat="1" applyFont="1" applyAlignment="1">
      <alignment/>
    </xf>
    <xf numFmtId="188" fontId="8" fillId="33" borderId="15" xfId="42" applyNumberFormat="1" applyFont="1" applyFill="1" applyBorder="1" applyAlignment="1">
      <alignment/>
    </xf>
    <xf numFmtId="188" fontId="8" fillId="33" borderId="15" xfId="0" applyNumberFormat="1" applyFont="1" applyFill="1" applyBorder="1" applyAlignment="1">
      <alignment/>
    </xf>
    <xf numFmtId="188" fontId="11" fillId="0" borderId="12" xfId="42" applyNumberFormat="1" applyFont="1" applyBorder="1" applyAlignment="1">
      <alignment/>
    </xf>
    <xf numFmtId="189" fontId="12" fillId="0" borderId="12" xfId="0" applyNumberFormat="1" applyFont="1" applyBorder="1" applyAlignment="1">
      <alignment/>
    </xf>
    <xf numFmtId="189" fontId="11" fillId="0" borderId="12" xfId="0" applyNumberFormat="1" applyFont="1" applyBorder="1" applyAlignment="1">
      <alignment/>
    </xf>
    <xf numFmtId="189" fontId="12" fillId="0" borderId="11" xfId="0" applyNumberFormat="1" applyFont="1" applyBorder="1" applyAlignment="1">
      <alignment/>
    </xf>
    <xf numFmtId="189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0">
      <selection activeCell="E54" sqref="E54"/>
    </sheetView>
  </sheetViews>
  <sheetFormatPr defaultColWidth="9.140625" defaultRowHeight="12.75"/>
  <cols>
    <col min="1" max="1" width="18.57421875" style="1" customWidth="1"/>
    <col min="2" max="2" width="20.57421875" style="1" customWidth="1"/>
    <col min="3" max="3" width="26.140625" style="1" bestFit="1" customWidth="1"/>
    <col min="4" max="4" width="22.140625" style="1" bestFit="1" customWidth="1"/>
    <col min="5" max="5" width="25.140625" style="1" bestFit="1" customWidth="1"/>
    <col min="6" max="6" width="28.28125" style="1" bestFit="1" customWidth="1"/>
    <col min="7" max="7" width="19.7109375" style="1" customWidth="1"/>
    <col min="8" max="8" width="15.28125" style="1" customWidth="1"/>
    <col min="9" max="9" width="13.140625" style="1" customWidth="1"/>
    <col min="10" max="10" width="14.00390625" style="1" bestFit="1" customWidth="1"/>
    <col min="11" max="11" width="9.140625" style="1" customWidth="1"/>
    <col min="12" max="12" width="16.00390625" style="1" bestFit="1" customWidth="1"/>
    <col min="13" max="16384" width="9.140625" style="1" customWidth="1"/>
  </cols>
  <sheetData>
    <row r="1" spans="1:10" ht="22.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</row>
    <row r="2" spans="1:9" ht="20.25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>
      <c r="A3" s="60" t="s">
        <v>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1.75" customHeight="1" thickBot="1">
      <c r="A4" s="3"/>
      <c r="B4" s="3"/>
      <c r="C4" s="3"/>
      <c r="D4" s="3"/>
      <c r="E4" s="3"/>
      <c r="F4" s="4"/>
      <c r="G4" s="3"/>
      <c r="H4" s="3"/>
      <c r="I4" s="3"/>
      <c r="J4" s="5">
        <f ca="1">+TODAY()</f>
        <v>45034</v>
      </c>
    </row>
    <row r="5" spans="1:10" ht="48.75" customHeight="1" thickBot="1">
      <c r="A5" s="6" t="s">
        <v>9</v>
      </c>
      <c r="B5" s="7" t="s">
        <v>17</v>
      </c>
      <c r="C5" s="7" t="s">
        <v>8</v>
      </c>
      <c r="D5" s="8" t="s">
        <v>7</v>
      </c>
      <c r="E5" s="8" t="s">
        <v>1</v>
      </c>
      <c r="F5" s="9" t="s">
        <v>2</v>
      </c>
      <c r="G5" s="9" t="s">
        <v>11</v>
      </c>
      <c r="H5" s="9" t="s">
        <v>3</v>
      </c>
      <c r="I5" s="10" t="s">
        <v>10</v>
      </c>
      <c r="J5" s="11" t="s">
        <v>4</v>
      </c>
    </row>
    <row r="6" spans="1:10" ht="21.75" customHeight="1">
      <c r="A6" s="21">
        <v>44680</v>
      </c>
      <c r="B6" s="45" t="s">
        <v>33</v>
      </c>
      <c r="C6" s="46">
        <v>500000000000</v>
      </c>
      <c r="D6" s="15">
        <f>25000000000+800500000+18060000000+10329800000+737000+27955400000+31175000+29773000000+7227000</f>
        <v>111957839000</v>
      </c>
      <c r="E6" s="16"/>
      <c r="F6" s="17">
        <f aca="true" t="shared" si="0" ref="F6:F11">+D6-E6</f>
        <v>111957839000</v>
      </c>
      <c r="G6" s="18">
        <v>0.0925</v>
      </c>
      <c r="H6" s="22">
        <v>0.11544556478525288</v>
      </c>
      <c r="I6" s="19">
        <f>+J6-$J$4</f>
        <v>742</v>
      </c>
      <c r="J6" s="20">
        <v>45776</v>
      </c>
    </row>
    <row r="7" spans="1:10" ht="21.75" customHeight="1">
      <c r="A7" s="12">
        <v>44680</v>
      </c>
      <c r="B7" s="13" t="s">
        <v>31</v>
      </c>
      <c r="C7" s="14">
        <v>500000000000</v>
      </c>
      <c r="D7" s="16">
        <f>35393556000+18834000000+35866000000+4029000</f>
        <v>90097585000</v>
      </c>
      <c r="E7" s="16"/>
      <c r="F7" s="17">
        <f t="shared" si="0"/>
        <v>90097585000</v>
      </c>
      <c r="G7" s="18">
        <v>0.094</v>
      </c>
      <c r="H7" s="22">
        <v>0.11559059334949988</v>
      </c>
      <c r="I7" s="19">
        <f>J7-$J$4</f>
        <v>1472</v>
      </c>
      <c r="J7" s="20">
        <v>46506</v>
      </c>
    </row>
    <row r="8" spans="1:10" ht="21.75" customHeight="1">
      <c r="A8" s="21">
        <v>43584</v>
      </c>
      <c r="B8" s="45" t="s">
        <v>22</v>
      </c>
      <c r="C8" s="46">
        <v>200000000000</v>
      </c>
      <c r="D8" s="15">
        <v>166761459000</v>
      </c>
      <c r="E8" s="16">
        <f>3000000000+5000000000+5000000000+2000000000+2000000000+2000000000</f>
        <v>19000000000</v>
      </c>
      <c r="F8" s="17">
        <f t="shared" si="0"/>
        <v>147761459000</v>
      </c>
      <c r="G8" s="18">
        <v>0.09</v>
      </c>
      <c r="H8" s="22">
        <v>0.08382623632272747</v>
      </c>
      <c r="I8" s="19">
        <f>+J8-$J$4</f>
        <v>2386</v>
      </c>
      <c r="J8" s="20">
        <v>47420</v>
      </c>
    </row>
    <row r="9" spans="1:10" ht="21.75" customHeight="1">
      <c r="A9" s="21">
        <v>44133</v>
      </c>
      <c r="B9" s="13" t="s">
        <v>27</v>
      </c>
      <c r="C9" s="14">
        <v>500000000000</v>
      </c>
      <c r="D9" s="15">
        <f>22518200000+100000000+38859500000+7771900000+1529550000+25657700000+45000000000+1553600000+15000000000+501250000+36312300000</f>
        <v>194804000000</v>
      </c>
      <c r="E9" s="16"/>
      <c r="F9" s="17">
        <f t="shared" si="0"/>
        <v>194804000000</v>
      </c>
      <c r="G9" s="18">
        <v>0.08</v>
      </c>
      <c r="H9" s="22">
        <v>0.105939935537771</v>
      </c>
      <c r="I9" s="19">
        <f>J9-$J$4</f>
        <v>3116</v>
      </c>
      <c r="J9" s="20">
        <v>48150</v>
      </c>
    </row>
    <row r="10" spans="1:10" ht="21.75" customHeight="1">
      <c r="A10" s="21">
        <v>42489</v>
      </c>
      <c r="B10" s="45" t="s">
        <v>14</v>
      </c>
      <c r="C10" s="46">
        <v>80000000000</v>
      </c>
      <c r="D10" s="15">
        <v>80000000000</v>
      </c>
      <c r="E10" s="16">
        <f>4500000000+1500000000+3000000000</f>
        <v>9000000000</v>
      </c>
      <c r="F10" s="17">
        <f t="shared" si="0"/>
        <v>71000000000</v>
      </c>
      <c r="G10" s="18">
        <v>0.13</v>
      </c>
      <c r="H10" s="22">
        <v>0.152748732394366</v>
      </c>
      <c r="I10" s="19">
        <f>+J10-$J$4</f>
        <v>4943</v>
      </c>
      <c r="J10" s="20">
        <v>49977</v>
      </c>
    </row>
    <row r="11" spans="1:10" ht="21.75" customHeight="1" thickBot="1">
      <c r="A11" s="21">
        <v>43767</v>
      </c>
      <c r="B11" s="45" t="s">
        <v>25</v>
      </c>
      <c r="C11" s="46">
        <v>200000000000</v>
      </c>
      <c r="D11" s="15">
        <f>74209262000+25200000000+997530000+12000000000+247051000+1859000000+479520000+10000000000+146000000</f>
        <v>125138363000</v>
      </c>
      <c r="E11" s="16"/>
      <c r="F11" s="17">
        <f t="shared" si="0"/>
        <v>125138363000</v>
      </c>
      <c r="G11" s="18">
        <v>0.0975</v>
      </c>
      <c r="H11" s="22">
        <v>0.10053107045299126</v>
      </c>
      <c r="I11" s="19">
        <f>+J11-$J$4</f>
        <v>10056</v>
      </c>
      <c r="J11" s="20">
        <v>55090</v>
      </c>
    </row>
    <row r="12" spans="1:10" ht="33.75" customHeight="1" thickBot="1">
      <c r="A12" s="24"/>
      <c r="B12" s="25"/>
      <c r="C12" s="25"/>
      <c r="D12" s="26"/>
      <c r="E12" s="26"/>
      <c r="F12" s="53">
        <f>SUM(F6:F11)</f>
        <v>740759246000</v>
      </c>
      <c r="G12" s="56"/>
      <c r="H12" s="55">
        <f>+SUMPRODUCT(F6:F11,H6:H11)/F12</f>
        <v>0.10771209872437873</v>
      </c>
      <c r="I12" s="27"/>
      <c r="J12" s="28"/>
    </row>
    <row r="13" spans="1:10" ht="21.75" customHeight="1">
      <c r="A13" s="29"/>
      <c r="B13" s="29"/>
      <c r="C13" s="29"/>
      <c r="D13" s="30"/>
      <c r="E13" s="30"/>
      <c r="F13" s="31"/>
      <c r="G13" s="32"/>
      <c r="H13" s="33"/>
      <c r="I13" s="29"/>
      <c r="J13" s="34"/>
    </row>
    <row r="14" spans="1:10" ht="20.25">
      <c r="A14" s="61" t="s">
        <v>6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21.75" customHeight="1" thickBot="1">
      <c r="A15" s="35"/>
      <c r="B15" s="35"/>
      <c r="C15" s="35"/>
      <c r="D15" s="35"/>
      <c r="E15" s="35"/>
      <c r="F15" s="35"/>
      <c r="G15" s="35"/>
      <c r="H15" s="35"/>
      <c r="I15" s="29"/>
      <c r="J15" s="34"/>
    </row>
    <row r="16" spans="1:10" ht="45.75" customHeight="1" thickBot="1">
      <c r="A16" s="6" t="s">
        <v>9</v>
      </c>
      <c r="B16" s="7" t="s">
        <v>17</v>
      </c>
      <c r="C16" s="7" t="s">
        <v>8</v>
      </c>
      <c r="D16" s="8" t="s">
        <v>7</v>
      </c>
      <c r="E16" s="8" t="s">
        <v>1</v>
      </c>
      <c r="F16" s="9" t="s">
        <v>2</v>
      </c>
      <c r="G16" s="9" t="s">
        <v>11</v>
      </c>
      <c r="H16" s="9" t="s">
        <v>3</v>
      </c>
      <c r="I16" s="10" t="s">
        <v>10</v>
      </c>
      <c r="J16" s="36" t="s">
        <v>4</v>
      </c>
    </row>
    <row r="17" spans="1:10" ht="21.75" customHeight="1">
      <c r="A17" s="21">
        <v>43219</v>
      </c>
      <c r="B17" s="13" t="s">
        <v>20</v>
      </c>
      <c r="C17" s="14">
        <v>200000000000</v>
      </c>
      <c r="D17" s="15">
        <f>8120000000+6000000000+716600000+8056000000+8390000000</f>
        <v>31282600000</v>
      </c>
      <c r="E17" s="16">
        <f>1500000000+500000000+2000000000</f>
        <v>4000000000</v>
      </c>
      <c r="F17" s="17">
        <f aca="true" t="shared" si="1" ref="F17:F31">+D17-E17</f>
        <v>27282600000</v>
      </c>
      <c r="G17" s="18">
        <v>0.08</v>
      </c>
      <c r="H17" s="22">
        <v>0.08548856029850528</v>
      </c>
      <c r="I17" s="19">
        <f>J17-$J$4</f>
        <v>11</v>
      </c>
      <c r="J17" s="20">
        <v>45045</v>
      </c>
    </row>
    <row r="18" spans="1:10" ht="21.75" customHeight="1">
      <c r="A18" s="21">
        <v>43950</v>
      </c>
      <c r="B18" s="45" t="s">
        <v>23</v>
      </c>
      <c r="C18" s="46">
        <v>200000000000</v>
      </c>
      <c r="D18" s="15">
        <f>33210000000+15000000000</f>
        <v>48210000000</v>
      </c>
      <c r="E18" s="16">
        <v>667160000</v>
      </c>
      <c r="F18" s="17">
        <f>+D18-E18</f>
        <v>47542840000</v>
      </c>
      <c r="G18" s="18">
        <v>0.065</v>
      </c>
      <c r="H18" s="22">
        <v>0.06941304003967788</v>
      </c>
      <c r="I18" s="19">
        <f>+J18-$J$4</f>
        <v>11</v>
      </c>
      <c r="J18" s="20">
        <v>45045</v>
      </c>
    </row>
    <row r="19" spans="1:10" ht="21.75" customHeight="1">
      <c r="A19" s="12">
        <v>41576</v>
      </c>
      <c r="B19" s="13" t="s">
        <v>15</v>
      </c>
      <c r="C19" s="14">
        <v>50000000000</v>
      </c>
      <c r="D19" s="15">
        <f>2000000000+3000000000+4000000000+2000000000+1625000000+2000000000+3000000000</f>
        <v>17625000000</v>
      </c>
      <c r="E19" s="16">
        <f>1500000000+1000000000+500000000+1000000000+1000000000</f>
        <v>5000000000</v>
      </c>
      <c r="F19" s="17">
        <f t="shared" si="1"/>
        <v>12625000000</v>
      </c>
      <c r="G19" s="18">
        <v>0.1</v>
      </c>
      <c r="H19" s="22">
        <v>0.13046502970297</v>
      </c>
      <c r="I19" s="19">
        <f>J19-$J$4</f>
        <v>194</v>
      </c>
      <c r="J19" s="20">
        <v>45228</v>
      </c>
    </row>
    <row r="20" spans="1:10" ht="21.75" customHeight="1">
      <c r="A20" s="21">
        <v>43584</v>
      </c>
      <c r="B20" s="13" t="s">
        <v>21</v>
      </c>
      <c r="C20" s="14">
        <v>200000000000</v>
      </c>
      <c r="D20" s="15">
        <f>7200000000+5000000000+195000000+5000000000+12000000000+2380000000</f>
        <v>31775000000</v>
      </c>
      <c r="E20" s="16">
        <v>578000000</v>
      </c>
      <c r="F20" s="17">
        <f t="shared" si="1"/>
        <v>31197000000</v>
      </c>
      <c r="G20" s="18">
        <v>0.08</v>
      </c>
      <c r="H20" s="22">
        <v>0.0725846925345386</v>
      </c>
      <c r="I20" s="19">
        <f>J20-$J$4</f>
        <v>377</v>
      </c>
      <c r="J20" s="20">
        <v>45411</v>
      </c>
    </row>
    <row r="21" spans="1:10" ht="21.75" customHeight="1">
      <c r="A21" s="21">
        <v>44315</v>
      </c>
      <c r="B21" s="13" t="s">
        <v>29</v>
      </c>
      <c r="C21" s="14">
        <v>500000000000</v>
      </c>
      <c r="D21" s="15">
        <f>15000000000+20400000000+10169000000+20000000000+130000000+14100000000+15000000000</f>
        <v>94799000000</v>
      </c>
      <c r="E21" s="16">
        <v>2000000000</v>
      </c>
      <c r="F21" s="17">
        <f t="shared" si="1"/>
        <v>92799000000</v>
      </c>
      <c r="G21" s="18">
        <v>0.065</v>
      </c>
      <c r="H21" s="22">
        <v>0.0969509822950678</v>
      </c>
      <c r="I21" s="19">
        <f>J21-$J$4</f>
        <v>377</v>
      </c>
      <c r="J21" s="20">
        <v>45411</v>
      </c>
    </row>
    <row r="22" spans="1:10" ht="21.75" customHeight="1">
      <c r="A22" s="21">
        <v>43950</v>
      </c>
      <c r="B22" s="45" t="s">
        <v>24</v>
      </c>
      <c r="C22" s="46">
        <v>200000000000</v>
      </c>
      <c r="D22" s="15">
        <f>51869500000+16500000000</f>
        <v>68369500000</v>
      </c>
      <c r="E22" s="16">
        <v>2000000000</v>
      </c>
      <c r="F22" s="17">
        <f t="shared" si="1"/>
        <v>66369500000</v>
      </c>
      <c r="G22" s="18">
        <v>0.07</v>
      </c>
      <c r="H22" s="22">
        <v>0.07344050658058297</v>
      </c>
      <c r="I22" s="19">
        <f>+J22-$J$4</f>
        <v>742</v>
      </c>
      <c r="J22" s="20">
        <v>45776</v>
      </c>
    </row>
    <row r="23" spans="1:10" ht="21.75" customHeight="1">
      <c r="A23" s="21">
        <v>42306</v>
      </c>
      <c r="B23" s="13" t="s">
        <v>12</v>
      </c>
      <c r="C23" s="14">
        <v>50000000000</v>
      </c>
      <c r="D23" s="15">
        <f>4000000000+2488000000+3000000000+5000000000+5000000000+6000000000+2500000000+4000000000+5000000000+787200000+4799000000</f>
        <v>42574200000</v>
      </c>
      <c r="E23" s="16">
        <f>1000000000+1000000000+1000000000+1194780000</f>
        <v>4194780000</v>
      </c>
      <c r="F23" s="17">
        <f t="shared" si="1"/>
        <v>38379420000</v>
      </c>
      <c r="G23" s="18">
        <v>0.11</v>
      </c>
      <c r="H23" s="22">
        <v>0.141077185341519</v>
      </c>
      <c r="I23" s="19">
        <f aca="true" t="shared" si="2" ref="I23:I31">J23-$J$4</f>
        <v>925</v>
      </c>
      <c r="J23" s="20">
        <v>45959</v>
      </c>
    </row>
    <row r="24" spans="1:10" ht="21.75" customHeight="1">
      <c r="A24" s="21">
        <v>44315</v>
      </c>
      <c r="B24" s="13" t="s">
        <v>28</v>
      </c>
      <c r="C24" s="14">
        <v>500000000000</v>
      </c>
      <c r="D24" s="15">
        <f>15000000000+20892000000+21593200000+30000000000+456415000+15000000000</f>
        <v>102941615000</v>
      </c>
      <c r="E24" s="16"/>
      <c r="F24" s="17">
        <f t="shared" si="1"/>
        <v>102941615000</v>
      </c>
      <c r="G24" s="18">
        <v>0.07</v>
      </c>
      <c r="H24" s="22">
        <v>0.09830111940637419</v>
      </c>
      <c r="I24" s="19">
        <f>J24-$J$4</f>
        <v>1107</v>
      </c>
      <c r="J24" s="20">
        <v>46141</v>
      </c>
    </row>
    <row r="25" spans="1:10" ht="21.75" customHeight="1">
      <c r="A25" s="21">
        <v>43037</v>
      </c>
      <c r="B25" s="13" t="s">
        <v>19</v>
      </c>
      <c r="C25" s="14">
        <v>200000000000</v>
      </c>
      <c r="D25" s="15">
        <f>12000000000+15000000000+2370000000+5900000000+15000000000+150000000</f>
        <v>50420000000</v>
      </c>
      <c r="E25" s="16">
        <f>2000000000+1000000000+1000000000</f>
        <v>4000000000</v>
      </c>
      <c r="F25" s="17">
        <f t="shared" si="1"/>
        <v>46420000000</v>
      </c>
      <c r="G25" s="18">
        <v>0.1</v>
      </c>
      <c r="H25" s="22">
        <v>0.0974494694097372</v>
      </c>
      <c r="I25" s="19">
        <f t="shared" si="2"/>
        <v>1655</v>
      </c>
      <c r="J25" s="20">
        <v>46689</v>
      </c>
    </row>
    <row r="26" spans="1:10" ht="21.75" customHeight="1">
      <c r="A26" s="12">
        <v>39485</v>
      </c>
      <c r="B26" s="13" t="s">
        <v>16</v>
      </c>
      <c r="C26" s="14">
        <v>80000000000</v>
      </c>
      <c r="D26" s="16">
        <v>32120090000</v>
      </c>
      <c r="E26" s="16">
        <f>5250000000+750000000+1500000000+750000000+750000000+3000000000+1000000000+430000000+1000000000+1000000000</f>
        <v>15430000000</v>
      </c>
      <c r="F26" s="17">
        <f t="shared" si="1"/>
        <v>16690090000</v>
      </c>
      <c r="G26" s="18">
        <v>0.11</v>
      </c>
      <c r="H26" s="22">
        <v>0.16129686641294325</v>
      </c>
      <c r="I26" s="19">
        <f t="shared" si="2"/>
        <v>1756</v>
      </c>
      <c r="J26" s="20">
        <v>46790</v>
      </c>
    </row>
    <row r="27" spans="1:10" ht="21.75" customHeight="1">
      <c r="A27" s="21">
        <v>40956</v>
      </c>
      <c r="B27" s="13" t="s">
        <v>13</v>
      </c>
      <c r="C27" s="14">
        <v>80000000000</v>
      </c>
      <c r="D27" s="15">
        <f>10000000000+12500000000+5000000000+5000000000+5000000000+5000000000+2000000000+3000000000+4000000000+2000000000+4000000000+5000000000+5000000000+2000000000</f>
        <v>69500000000</v>
      </c>
      <c r="E27" s="16">
        <f>1000000000+1000000000+1000000000+3000000000+3000000000+3000000000+1000000000+2000000000+2500000000+2000000000+2000000000+2000000000+2000000000+2000000000+2000000000+1500000000+1000000000+1000000000+1000000000</f>
        <v>34000000000</v>
      </c>
      <c r="F27" s="17">
        <f t="shared" si="1"/>
        <v>35500000000</v>
      </c>
      <c r="G27" s="18">
        <v>0.13</v>
      </c>
      <c r="H27" s="22">
        <v>0.17784621126760564</v>
      </c>
      <c r="I27" s="19">
        <f t="shared" si="2"/>
        <v>3227</v>
      </c>
      <c r="J27" s="20">
        <v>48261</v>
      </c>
    </row>
    <row r="28" spans="1:10" ht="21.75" customHeight="1">
      <c r="A28" s="21">
        <v>44863</v>
      </c>
      <c r="B28" s="13" t="s">
        <v>40</v>
      </c>
      <c r="C28" s="14">
        <v>800000000000</v>
      </c>
      <c r="D28" s="15">
        <f>3580000000+14260000</f>
        <v>3594260000</v>
      </c>
      <c r="E28" s="16"/>
      <c r="F28" s="17">
        <f t="shared" si="1"/>
        <v>3594260000</v>
      </c>
      <c r="G28" s="18">
        <v>0.096</v>
      </c>
      <c r="H28" s="22">
        <v>0.119801</v>
      </c>
      <c r="I28" s="19">
        <f t="shared" si="2"/>
        <v>3847</v>
      </c>
      <c r="J28" s="20">
        <v>48881</v>
      </c>
    </row>
    <row r="29" spans="1:10" ht="21.75" customHeight="1">
      <c r="A29" s="21">
        <v>42854</v>
      </c>
      <c r="B29" s="13" t="s">
        <v>26</v>
      </c>
      <c r="C29" s="14">
        <v>200000000000</v>
      </c>
      <c r="D29" s="15">
        <f>30045000000+45221500000</f>
        <v>75266500000</v>
      </c>
      <c r="E29" s="16"/>
      <c r="F29" s="17">
        <f t="shared" si="1"/>
        <v>75266500000</v>
      </c>
      <c r="G29" s="18">
        <v>0.125</v>
      </c>
      <c r="H29" s="22">
        <v>0.0942329067845589</v>
      </c>
      <c r="I29" s="19">
        <f t="shared" si="2"/>
        <v>5308</v>
      </c>
      <c r="J29" s="20">
        <v>50342</v>
      </c>
    </row>
    <row r="30" spans="1:10" ht="21.75" customHeight="1">
      <c r="A30" s="21">
        <v>42810</v>
      </c>
      <c r="B30" s="13" t="s">
        <v>18</v>
      </c>
      <c r="C30" s="14">
        <v>200000000000</v>
      </c>
      <c r="D30" s="15">
        <f>21000000000+4200000000+20000000000+1740000000+22000000+24000000000+1510000+25000000000+4415300000+75940000+25245655000</f>
        <v>125700405000</v>
      </c>
      <c r="E30" s="16">
        <f>5000000000+1000000000</f>
        <v>6000000000</v>
      </c>
      <c r="F30" s="17">
        <f t="shared" si="1"/>
        <v>119700405000</v>
      </c>
      <c r="G30" s="18">
        <v>0.13</v>
      </c>
      <c r="H30" s="22">
        <v>0.12041208060879155</v>
      </c>
      <c r="I30" s="19">
        <f t="shared" si="2"/>
        <v>8733</v>
      </c>
      <c r="J30" s="20">
        <v>53767</v>
      </c>
    </row>
    <row r="31" spans="1:10" ht="21.75" customHeight="1" thickBot="1">
      <c r="A31" s="21">
        <v>44680</v>
      </c>
      <c r="B31" s="13" t="s">
        <v>45</v>
      </c>
      <c r="C31" s="14">
        <v>500000000000</v>
      </c>
      <c r="D31" s="15">
        <f>12000000000+38124000</f>
        <v>12038124000</v>
      </c>
      <c r="E31" s="16"/>
      <c r="F31" s="17">
        <f t="shared" si="1"/>
        <v>12038124000</v>
      </c>
      <c r="G31" s="18">
        <v>0.0975</v>
      </c>
      <c r="H31" s="22">
        <v>0.118677</v>
      </c>
      <c r="I31" s="19">
        <f t="shared" si="2"/>
        <v>10787</v>
      </c>
      <c r="J31" s="20">
        <v>55821</v>
      </c>
    </row>
    <row r="32" spans="1:10" ht="21.75" customHeight="1" thickBot="1">
      <c r="A32" s="24"/>
      <c r="B32" s="25"/>
      <c r="C32" s="25"/>
      <c r="D32" s="26"/>
      <c r="E32" s="26"/>
      <c r="F32" s="53">
        <f>SUM(F17:F31)</f>
        <v>728346354000</v>
      </c>
      <c r="G32" s="54"/>
      <c r="H32" s="55">
        <f>SUMPRODUCT(F17:F31,H17:H31)/F32</f>
        <v>0.10413080713311704</v>
      </c>
      <c r="I32" s="38"/>
      <c r="J32" s="28"/>
    </row>
    <row r="33" spans="1:12" ht="21.75" customHeight="1">
      <c r="A33" s="29"/>
      <c r="B33" s="29"/>
      <c r="C33" s="29"/>
      <c r="D33" s="30"/>
      <c r="E33" s="30"/>
      <c r="F33" s="31"/>
      <c r="G33" s="32"/>
      <c r="H33" s="33"/>
      <c r="I33" s="29"/>
      <c r="J33" s="34"/>
      <c r="L33" s="23"/>
    </row>
    <row r="34" spans="1:10" ht="21.75" customHeight="1">
      <c r="A34" s="60" t="s">
        <v>0</v>
      </c>
      <c r="B34" s="60"/>
      <c r="C34" s="60"/>
      <c r="D34" s="60"/>
      <c r="E34" s="60"/>
      <c r="F34" s="60"/>
      <c r="G34" s="60"/>
      <c r="H34" s="60"/>
      <c r="I34" s="39"/>
      <c r="J34" s="34"/>
    </row>
    <row r="35" spans="1:10" ht="21.75" customHeight="1" thickBot="1">
      <c r="A35" s="40"/>
      <c r="B35" s="40"/>
      <c r="C35" s="40"/>
      <c r="D35" s="40"/>
      <c r="E35" s="40"/>
      <c r="F35" s="40"/>
      <c r="G35" s="40"/>
      <c r="H35" s="40"/>
      <c r="I35" s="40"/>
      <c r="J35" s="34"/>
    </row>
    <row r="36" spans="1:10" ht="35.25" thickBot="1">
      <c r="A36" s="6" t="s">
        <v>9</v>
      </c>
      <c r="B36" s="7" t="s">
        <v>17</v>
      </c>
      <c r="C36" s="8" t="s">
        <v>7</v>
      </c>
      <c r="D36" s="8" t="s">
        <v>1</v>
      </c>
      <c r="E36" s="9" t="s">
        <v>2</v>
      </c>
      <c r="F36" s="9" t="s">
        <v>3</v>
      </c>
      <c r="G36" s="10" t="s">
        <v>10</v>
      </c>
      <c r="H36" s="11" t="s">
        <v>4</v>
      </c>
      <c r="J36" s="34"/>
    </row>
    <row r="37" spans="1:12" ht="20.25" customHeight="1">
      <c r="A37" s="48">
        <v>44683</v>
      </c>
      <c r="B37" s="13" t="s">
        <v>30</v>
      </c>
      <c r="C37" s="41">
        <v>13066794000</v>
      </c>
      <c r="D37" s="41"/>
      <c r="E37" s="44">
        <f aca="true" t="shared" si="3" ref="E37:E48">+C37-D37</f>
        <v>13066794000</v>
      </c>
      <c r="F37" s="42">
        <v>0.1101512346321523</v>
      </c>
      <c r="G37" s="19">
        <f>+H37-$J$4</f>
        <v>13</v>
      </c>
      <c r="H37" s="49">
        <v>45047</v>
      </c>
      <c r="I37" s="23"/>
      <c r="K37" s="37"/>
      <c r="L37" s="50"/>
    </row>
    <row r="38" spans="1:12" ht="20.25" customHeight="1">
      <c r="A38" s="48">
        <v>44718</v>
      </c>
      <c r="B38" s="13" t="s">
        <v>32</v>
      </c>
      <c r="C38" s="51">
        <v>6663880000</v>
      </c>
      <c r="D38" s="51"/>
      <c r="E38" s="52">
        <f t="shared" si="3"/>
        <v>6663880000</v>
      </c>
      <c r="F38" s="42">
        <v>0.10551485582573517</v>
      </c>
      <c r="G38" s="19">
        <f>+H38-$J$4</f>
        <v>48</v>
      </c>
      <c r="H38" s="49">
        <v>45082</v>
      </c>
      <c r="I38" s="23"/>
      <c r="K38" s="37"/>
      <c r="L38" s="50"/>
    </row>
    <row r="39" spans="1:12" ht="20.25" customHeight="1">
      <c r="A39" s="48">
        <v>44746</v>
      </c>
      <c r="B39" s="13" t="s">
        <v>34</v>
      </c>
      <c r="C39" s="51">
        <f>3002000000+5000000000+5080000+3000000000+70086000</f>
        <v>11077166000</v>
      </c>
      <c r="D39" s="51"/>
      <c r="E39" s="52">
        <f t="shared" si="3"/>
        <v>11077166000</v>
      </c>
      <c r="F39" s="42">
        <v>0.11262450402548813</v>
      </c>
      <c r="G39" s="19">
        <f>+H39-$J$4</f>
        <v>76</v>
      </c>
      <c r="H39" s="49">
        <v>45110</v>
      </c>
      <c r="I39" s="23"/>
      <c r="K39" s="37"/>
      <c r="L39" s="50"/>
    </row>
    <row r="40" spans="1:12" ht="20.25" customHeight="1">
      <c r="A40" s="48">
        <v>44774</v>
      </c>
      <c r="B40" s="13" t="s">
        <v>37</v>
      </c>
      <c r="C40" s="51">
        <f>4000000000+10943000+5935000000+209667000</f>
        <v>10155610000</v>
      </c>
      <c r="D40" s="51"/>
      <c r="E40" s="52">
        <f t="shared" si="3"/>
        <v>10155610000</v>
      </c>
      <c r="F40" s="42">
        <v>0.11604541577984975</v>
      </c>
      <c r="G40" s="19">
        <f>+H40-$J$4</f>
        <v>104</v>
      </c>
      <c r="H40" s="49">
        <v>45138</v>
      </c>
      <c r="I40" s="23"/>
      <c r="K40" s="37"/>
      <c r="L40" s="50"/>
    </row>
    <row r="41" spans="1:12" ht="20.25" customHeight="1">
      <c r="A41" s="48">
        <v>44809</v>
      </c>
      <c r="B41" s="13" t="s">
        <v>35</v>
      </c>
      <c r="C41" s="51">
        <f>3000000000+12187000+4800000000+19680000+3003255000</f>
        <v>10835122000</v>
      </c>
      <c r="D41" s="51"/>
      <c r="E41" s="52">
        <f t="shared" si="3"/>
        <v>10835122000</v>
      </c>
      <c r="F41" s="42">
        <v>0.11385738524476235</v>
      </c>
      <c r="G41" s="19">
        <f>+H41-$J$4</f>
        <v>139</v>
      </c>
      <c r="H41" s="49">
        <v>45173</v>
      </c>
      <c r="I41" s="23"/>
      <c r="K41" s="37"/>
      <c r="L41" s="50"/>
    </row>
    <row r="42" spans="1:12" ht="20.25" customHeight="1">
      <c r="A42" s="48">
        <v>44837</v>
      </c>
      <c r="B42" s="13" t="s">
        <v>36</v>
      </c>
      <c r="C42" s="51">
        <f>4000000000+1430000+5000000000+21165000</f>
        <v>9022595000</v>
      </c>
      <c r="D42" s="51"/>
      <c r="E42" s="52">
        <f t="shared" si="3"/>
        <v>9022595000</v>
      </c>
      <c r="F42" s="42">
        <v>0.11561463064395554</v>
      </c>
      <c r="G42" s="19">
        <f aca="true" t="shared" si="4" ref="G42:G48">+H42-$J$4</f>
        <v>167</v>
      </c>
      <c r="H42" s="49">
        <v>45201</v>
      </c>
      <c r="I42" s="23"/>
      <c r="J42" s="57"/>
      <c r="K42" s="37"/>
      <c r="L42" s="50"/>
    </row>
    <row r="43" spans="1:12" ht="20.25" customHeight="1">
      <c r="A43" s="48">
        <v>44879</v>
      </c>
      <c r="B43" s="13" t="s">
        <v>38</v>
      </c>
      <c r="C43" s="41">
        <f>4799200000+16056000+5000000000+1000000000+4605000</f>
        <v>10819861000</v>
      </c>
      <c r="D43" s="41"/>
      <c r="E43" s="44">
        <f t="shared" si="3"/>
        <v>10819861000</v>
      </c>
      <c r="F43" s="42">
        <v>0.11625603742543458</v>
      </c>
      <c r="G43" s="19">
        <f t="shared" si="4"/>
        <v>209</v>
      </c>
      <c r="H43" s="49">
        <v>45243</v>
      </c>
      <c r="I43" s="23"/>
      <c r="K43" s="37"/>
      <c r="L43" s="50"/>
    </row>
    <row r="44" spans="1:12" ht="20.25" customHeight="1">
      <c r="A44" s="48">
        <v>44900</v>
      </c>
      <c r="B44" s="13" t="s">
        <v>39</v>
      </c>
      <c r="C44" s="41">
        <f>5000000000+88040000+5844488000</f>
        <v>10932528000</v>
      </c>
      <c r="D44" s="41"/>
      <c r="E44" s="44">
        <f t="shared" si="3"/>
        <v>10932528000</v>
      </c>
      <c r="F44" s="42">
        <v>0.1161941645226063</v>
      </c>
      <c r="G44" s="19">
        <f t="shared" si="4"/>
        <v>230</v>
      </c>
      <c r="H44" s="49">
        <v>45264</v>
      </c>
      <c r="I44" s="23"/>
      <c r="K44" s="37"/>
      <c r="L44" s="50"/>
    </row>
    <row r="45" spans="1:12" ht="20.25" customHeight="1">
      <c r="A45" s="48">
        <v>44942</v>
      </c>
      <c r="B45" s="13" t="s">
        <v>41</v>
      </c>
      <c r="C45" s="41">
        <f>5000000000+600000000+77056000+5000000000+47729000</f>
        <v>10724785000</v>
      </c>
      <c r="D45" s="41"/>
      <c r="E45" s="44">
        <f t="shared" si="3"/>
        <v>10724785000</v>
      </c>
      <c r="F45" s="42">
        <v>0.117164908298861</v>
      </c>
      <c r="G45" s="19">
        <f t="shared" si="4"/>
        <v>272</v>
      </c>
      <c r="H45" s="49">
        <v>45306</v>
      </c>
      <c r="I45" s="23"/>
      <c r="K45" s="37"/>
      <c r="L45" s="50"/>
    </row>
    <row r="46" spans="1:12" ht="20.25" customHeight="1">
      <c r="A46" s="48">
        <v>44963</v>
      </c>
      <c r="B46" s="13" t="s">
        <v>42</v>
      </c>
      <c r="C46" s="41">
        <f>5687124000+7000000000</f>
        <v>12687124000</v>
      </c>
      <c r="D46" s="41"/>
      <c r="E46" s="44">
        <f t="shared" si="3"/>
        <v>12687124000</v>
      </c>
      <c r="F46" s="42">
        <v>0.11605937389813482</v>
      </c>
      <c r="G46" s="19">
        <f t="shared" si="4"/>
        <v>293</v>
      </c>
      <c r="H46" s="49">
        <v>45327</v>
      </c>
      <c r="I46" s="23"/>
      <c r="K46" s="37"/>
      <c r="L46" s="50"/>
    </row>
    <row r="47" spans="1:12" ht="20.25" customHeight="1">
      <c r="A47" s="48">
        <v>44991</v>
      </c>
      <c r="B47" s="13" t="s">
        <v>43</v>
      </c>
      <c r="C47" s="41">
        <f>7000000000+33205000</f>
        <v>7033205000</v>
      </c>
      <c r="D47" s="41"/>
      <c r="E47" s="44">
        <f t="shared" si="3"/>
        <v>7033205000</v>
      </c>
      <c r="F47" s="42">
        <v>0.117412</v>
      </c>
      <c r="G47" s="19">
        <f t="shared" si="4"/>
        <v>321</v>
      </c>
      <c r="H47" s="49">
        <v>45355</v>
      </c>
      <c r="I47" s="23"/>
      <c r="K47" s="37"/>
      <c r="L47" s="50"/>
    </row>
    <row r="48" spans="1:12" ht="20.25" customHeight="1" thickBot="1">
      <c r="A48" s="48">
        <v>45019</v>
      </c>
      <c r="B48" s="13" t="s">
        <v>44</v>
      </c>
      <c r="C48" s="41">
        <f>7000000000+44873000</f>
        <v>7044873000</v>
      </c>
      <c r="D48" s="41"/>
      <c r="E48" s="44">
        <f t="shared" si="3"/>
        <v>7044873000</v>
      </c>
      <c r="F48" s="42">
        <v>0.11637600000000001</v>
      </c>
      <c r="G48" s="19">
        <f t="shared" si="4"/>
        <v>349</v>
      </c>
      <c r="H48" s="49">
        <v>45383</v>
      </c>
      <c r="I48" s="23"/>
      <c r="K48" s="37"/>
      <c r="L48" s="50"/>
    </row>
    <row r="49" spans="1:10" ht="20.25" customHeight="1" thickBot="1">
      <c r="A49" s="24"/>
      <c r="B49" s="47"/>
      <c r="C49" s="26"/>
      <c r="D49" s="26"/>
      <c r="E49" s="53">
        <f>SUM(E37:E48)</f>
        <v>120063543000</v>
      </c>
      <c r="F49" s="55">
        <f>SUMPRODUCT(F37:F48,E37:E48)/E49</f>
        <v>0.11450746407036311</v>
      </c>
      <c r="G49" s="38"/>
      <c r="H49" s="28"/>
      <c r="I49" s="34"/>
      <c r="J49" s="34"/>
    </row>
    <row r="50" spans="5:6" ht="13.5">
      <c r="E50" s="43"/>
      <c r="F50" s="43"/>
    </row>
    <row r="51" ht="13.5">
      <c r="E51" s="23"/>
    </row>
    <row r="52" ht="13.5">
      <c r="E52" s="23"/>
    </row>
    <row r="53" ht="13.5">
      <c r="E53" s="58"/>
    </row>
  </sheetData>
  <sheetProtection/>
  <mergeCells count="4">
    <mergeCell ref="A1:J1"/>
    <mergeCell ref="A34:H34"/>
    <mergeCell ref="A3:J3"/>
    <mergeCell ref="A14:J14"/>
  </mergeCells>
  <printOptions/>
  <pageMargins left="0.33" right="0.16" top="0.16" bottom="0.17" header="0.16" footer="0.1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KHKristine</dc:creator>
  <cp:keywords/>
  <dc:description/>
  <cp:lastModifiedBy>Kristine Khachatryan</cp:lastModifiedBy>
  <cp:lastPrinted>2018-02-27T11:58:28Z</cp:lastPrinted>
  <dcterms:created xsi:type="dcterms:W3CDTF">2010-12-10T08:12:32Z</dcterms:created>
  <dcterms:modified xsi:type="dcterms:W3CDTF">2023-04-18T12:28:21Z</dcterms:modified>
  <cp:category/>
  <cp:version/>
  <cp:contentType/>
  <cp:contentStatus/>
</cp:coreProperties>
</file>